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hidden" xWindow="-135" yWindow="-450" windowWidth="8205" windowHeight="5610"/>
  </bookViews>
  <sheets>
    <sheet name="Sheet1" sheetId="1" r:id="rId1"/>
    <sheet name="Sheet2" sheetId="2" r:id="rId2"/>
    <sheet name="Sheet3" sheetId="3" r:id="rId3"/>
  </sheets>
  <calcPr calcId="0"/>
  <oleSize ref="A1"/>
</workbook>
</file>

<file path=xl/comments1.xml><?xml version="1.0" encoding="utf-8"?>
<comments xmlns="http://schemas.openxmlformats.org/spreadsheetml/2006/main">
  <authors>
    <author>Julian</author>
  </authors>
  <commentList>
    <comment ref="L68" authorId="0">
      <text>
        <r>
          <rPr>
            <b/>
            <sz val="9"/>
            <color indexed="81"/>
            <rFont val="Tahoma"/>
            <family val="2"/>
          </rPr>
          <t xml:space="preserve">Julian: Burbujeo cte.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<sst xmlns="http://schemas.openxmlformats.org/spreadsheetml/2006/main" count="265" uniqueCount="196">
  <si>
    <t>calibration curve</t>
  </si>
  <si>
    <t>λ =</t>
  </si>
  <si>
    <t>nm</t>
  </si>
  <si>
    <t>concentration</t>
  </si>
  <si>
    <t>Spectro</t>
  </si>
  <si>
    <t>C</t>
  </si>
  <si>
    <t>A</t>
  </si>
  <si>
    <t>reactor</t>
  </si>
  <si>
    <t>Samples</t>
  </si>
  <si>
    <t>date</t>
  </si>
  <si>
    <t>preparing calibration curve</t>
  </si>
  <si>
    <t>absorvance</t>
  </si>
  <si>
    <t>Average</t>
  </si>
  <si>
    <t>c</t>
  </si>
  <si>
    <t>water</t>
  </si>
  <si>
    <t>check</t>
  </si>
  <si>
    <t>µl</t>
  </si>
  <si>
    <t>Stock</t>
  </si>
  <si>
    <t>b =</t>
  </si>
  <si>
    <t>C = bA+d</t>
  </si>
  <si>
    <t>d =</t>
  </si>
  <si>
    <t>Nitrate</t>
  </si>
  <si>
    <t>range</t>
  </si>
  <si>
    <t>mM</t>
  </si>
  <si>
    <t>wanted</t>
  </si>
  <si>
    <t>Dilution</t>
  </si>
  <si>
    <t>mmol</t>
  </si>
  <si>
    <t>Ammonium determination</t>
  </si>
  <si>
    <t>ammonium</t>
  </si>
  <si>
    <t>10-200</t>
  </si>
  <si>
    <t>µM</t>
  </si>
  <si>
    <t>sample</t>
  </si>
  <si>
    <t>DATE</t>
  </si>
  <si>
    <t>Sample</t>
  </si>
  <si>
    <t>days</t>
  </si>
  <si>
    <t>Date</t>
  </si>
  <si>
    <t>Acumul.</t>
  </si>
  <si>
    <t>PM MH4</t>
  </si>
  <si>
    <t>g/l</t>
  </si>
  <si>
    <t>mg/l</t>
  </si>
  <si>
    <t>Description</t>
  </si>
  <si>
    <t>4*AA</t>
  </si>
  <si>
    <t>5*AA</t>
  </si>
  <si>
    <t>6*AA</t>
  </si>
  <si>
    <t>8*AA</t>
  </si>
  <si>
    <t>9*AA</t>
  </si>
  <si>
    <t>1*AB</t>
  </si>
  <si>
    <t>2*AB</t>
  </si>
  <si>
    <t>3*AB</t>
  </si>
  <si>
    <t>4*AB</t>
  </si>
  <si>
    <t>5*AB</t>
  </si>
  <si>
    <t>6*AB</t>
  </si>
  <si>
    <t>5S</t>
  </si>
  <si>
    <t>7S</t>
  </si>
  <si>
    <t>8S</t>
  </si>
  <si>
    <t>9S</t>
  </si>
  <si>
    <t>1T</t>
  </si>
  <si>
    <t>2T</t>
  </si>
  <si>
    <t>Activity test on 18/3/2010</t>
  </si>
  <si>
    <t>Activity test on 04/3/2010</t>
  </si>
  <si>
    <t>volume in</t>
  </si>
  <si>
    <t>mmol add</t>
  </si>
  <si>
    <t>t mmol a</t>
  </si>
  <si>
    <t>hour</t>
  </si>
  <si>
    <t xml:space="preserve">Final </t>
  </si>
  <si>
    <t>V 1 ml</t>
  </si>
  <si>
    <t>V 2 ml</t>
  </si>
  <si>
    <t>V1</t>
  </si>
  <si>
    <t>V2</t>
  </si>
  <si>
    <t>average ml/d</t>
  </si>
  <si>
    <t>Total</t>
  </si>
  <si>
    <t>V2 + V2</t>
  </si>
  <si>
    <t>No. days</t>
  </si>
  <si>
    <t>No. hours</t>
  </si>
  <si>
    <t>20/10/2010</t>
  </si>
  <si>
    <t>LOST</t>
  </si>
  <si>
    <t>Calculus of Volumen added</t>
  </si>
  <si>
    <t>total remotion in the reactor</t>
  </si>
  <si>
    <t>Medium</t>
  </si>
  <si>
    <t>R [mM] = Inicial concentration in the reactor</t>
  </si>
  <si>
    <t>Final</t>
  </si>
  <si>
    <t>B [mM]</t>
  </si>
  <si>
    <t>B [mM] = Final concentration in the reactor, before discharging</t>
  </si>
  <si>
    <t>WHERE IS THE DISCHARGE?????</t>
  </si>
  <si>
    <t>T mmol a = Total mmol in the reactor after discharging</t>
  </si>
  <si>
    <t>with the final T mmol a</t>
  </si>
  <si>
    <t>exponent</t>
  </si>
  <si>
    <t>doble time</t>
  </si>
  <si>
    <t>Vol add M1</t>
  </si>
  <si>
    <t>Vol T. Add</t>
  </si>
  <si>
    <t>Final C</t>
  </si>
  <si>
    <t xml:space="preserve"> mM</t>
  </si>
  <si>
    <t>NH4</t>
  </si>
  <si>
    <t>Efluent NH4</t>
  </si>
  <si>
    <t>final NH4</t>
  </si>
  <si>
    <t>Nitrite</t>
  </si>
  <si>
    <t>Med 1</t>
  </si>
  <si>
    <t>measured</t>
  </si>
  <si>
    <t>hplc</t>
  </si>
  <si>
    <t>produced</t>
  </si>
  <si>
    <t>nitrate</t>
  </si>
  <si>
    <t>T mmol b = Total mmol in the reactor before discharging</t>
  </si>
  <si>
    <t>In teory</t>
  </si>
  <si>
    <t>final NH4 = final concentratrion without remotion</t>
  </si>
  <si>
    <t>removed</t>
  </si>
  <si>
    <t>Measured</t>
  </si>
  <si>
    <t>After D</t>
  </si>
  <si>
    <t>T mmol</t>
  </si>
  <si>
    <t>out</t>
  </si>
  <si>
    <t>Efluent No2</t>
  </si>
  <si>
    <t>5PR</t>
  </si>
  <si>
    <t>6PR</t>
  </si>
  <si>
    <t>7PR</t>
  </si>
  <si>
    <t>11/31/2010</t>
  </si>
  <si>
    <t>M1</t>
  </si>
  <si>
    <t>Vol add</t>
  </si>
  <si>
    <t>Strips</t>
  </si>
  <si>
    <t>no2-</t>
  </si>
  <si>
    <t>before</t>
  </si>
  <si>
    <t>Efluent</t>
  </si>
  <si>
    <t>total in</t>
  </si>
  <si>
    <t xml:space="preserve">total </t>
  </si>
  <si>
    <t>total</t>
  </si>
  <si>
    <t>mmol/l</t>
  </si>
  <si>
    <t>per day</t>
  </si>
  <si>
    <t xml:space="preserve">Consumo </t>
  </si>
  <si>
    <t>total mM</t>
  </si>
  <si>
    <t>before D</t>
  </si>
  <si>
    <t>Nota: diA 65, eliminado por problemas en el reactor; el rotor estaba suelto, no habia suficiente medio.</t>
  </si>
  <si>
    <t>observ.</t>
  </si>
  <si>
    <t>prob. Reactor</t>
  </si>
  <si>
    <t>datos mariella</t>
  </si>
  <si>
    <t>datos julian</t>
  </si>
  <si>
    <t>se acabo el gas</t>
  </si>
  <si>
    <t>inicio arg/co2</t>
  </si>
  <si>
    <t>area</t>
  </si>
  <si>
    <t>Area</t>
  </si>
  <si>
    <t>mg</t>
  </si>
  <si>
    <t>gramos</t>
  </si>
  <si>
    <t>Area acum</t>
  </si>
  <si>
    <t>relacion</t>
  </si>
  <si>
    <t>relacion nitrito amonio</t>
  </si>
  <si>
    <t>Dia</t>
  </si>
  <si>
    <t>nitrito</t>
  </si>
  <si>
    <t>amonio</t>
  </si>
  <si>
    <t>dia</t>
  </si>
  <si>
    <t>mmol acu</t>
  </si>
  <si>
    <t>no2-/nh4+</t>
  </si>
  <si>
    <t>no-/nh4+</t>
  </si>
  <si>
    <t>acum</t>
  </si>
  <si>
    <t>falla en la alimentacion</t>
  </si>
  <si>
    <t>ajustes a la</t>
  </si>
  <si>
    <t>bomba</t>
  </si>
  <si>
    <t xml:space="preserve">y a la </t>
  </si>
  <si>
    <t>concentracion</t>
  </si>
  <si>
    <t>del medio</t>
  </si>
  <si>
    <t>8A</t>
  </si>
  <si>
    <t>9A</t>
  </si>
  <si>
    <t>16 A</t>
  </si>
  <si>
    <t>17 A</t>
  </si>
  <si>
    <t>19 A</t>
  </si>
  <si>
    <t>20 A</t>
  </si>
  <si>
    <t>23 A</t>
  </si>
  <si>
    <t>24 A</t>
  </si>
  <si>
    <t>25 A</t>
  </si>
  <si>
    <t>29a</t>
  </si>
  <si>
    <t>30a</t>
  </si>
  <si>
    <t>vol out</t>
  </si>
  <si>
    <t>j11</t>
  </si>
  <si>
    <t>13 J</t>
  </si>
  <si>
    <t>15 J</t>
  </si>
  <si>
    <t>17 J</t>
  </si>
  <si>
    <t>18 J</t>
  </si>
  <si>
    <t>j19</t>
  </si>
  <si>
    <t>20 J</t>
  </si>
  <si>
    <t>21 J</t>
  </si>
  <si>
    <t>j23</t>
  </si>
  <si>
    <t>24 J</t>
  </si>
  <si>
    <t>25 J</t>
  </si>
  <si>
    <t>j26j</t>
  </si>
  <si>
    <t>27 J</t>
  </si>
  <si>
    <t>j28</t>
  </si>
  <si>
    <t>30 J</t>
  </si>
  <si>
    <t>jl1</t>
  </si>
  <si>
    <t>jl4</t>
  </si>
  <si>
    <t>jl6</t>
  </si>
  <si>
    <t>jl7</t>
  </si>
  <si>
    <t>jl9</t>
  </si>
  <si>
    <t>jl16</t>
  </si>
  <si>
    <t>jl18</t>
  </si>
  <si>
    <t>jl20</t>
  </si>
  <si>
    <t>jl22</t>
  </si>
  <si>
    <t>jl25</t>
  </si>
  <si>
    <t>jl26</t>
  </si>
  <si>
    <t>jl29</t>
  </si>
  <si>
    <t>jl31</t>
  </si>
</sst>
</file>

<file path=xl/styles.xml><?xml version="1.0" encoding="utf-8"?>
<styleSheet xmlns="http://schemas.openxmlformats.org/spreadsheetml/2006/main">
  <numFmts count="3">
    <numFmt numFmtId="172" formatCode="0.0000"/>
    <numFmt numFmtId="173" formatCode="0.000"/>
    <numFmt numFmtId="174" formatCode="0.0"/>
  </numFmts>
  <fonts count="14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5" fillId="0" borderId="0" xfId="0" applyFont="1" applyAlignment="1">
      <alignment horizontal="right"/>
    </xf>
    <xf numFmtId="172" fontId="0" fillId="0" borderId="0" xfId="0" applyNumberFormat="1"/>
    <xf numFmtId="173" fontId="0" fillId="0" borderId="0" xfId="0" applyNumberFormat="1"/>
    <xf numFmtId="14" fontId="0" fillId="0" borderId="0" xfId="0" applyNumberFormat="1"/>
    <xf numFmtId="2" fontId="0" fillId="0" borderId="0" xfId="0" applyNumberFormat="1"/>
    <xf numFmtId="174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16" fontId="0" fillId="0" borderId="0" xfId="0" applyNumberFormat="1"/>
    <xf numFmtId="14" fontId="0" fillId="0" borderId="0" xfId="0" applyNumberFormat="1" applyBorder="1"/>
    <xf numFmtId="0" fontId="7" fillId="0" borderId="0" xfId="0" applyFont="1"/>
    <xf numFmtId="14" fontId="7" fillId="0" borderId="0" xfId="0" applyNumberFormat="1" applyFont="1"/>
    <xf numFmtId="1" fontId="0" fillId="0" borderId="0" xfId="0" applyNumberFormat="1" applyFill="1"/>
    <xf numFmtId="0" fontId="0" fillId="0" borderId="0" xfId="0" applyFill="1"/>
    <xf numFmtId="0" fontId="0" fillId="0" borderId="0" xfId="0" applyFill="1" applyBorder="1"/>
    <xf numFmtId="0" fontId="0" fillId="0" borderId="0" xfId="0" applyNumberFormat="1"/>
    <xf numFmtId="173" fontId="0" fillId="0" borderId="0" xfId="0" applyNumberFormat="1" applyFill="1"/>
    <xf numFmtId="174" fontId="0" fillId="0" borderId="0" xfId="0" applyNumberFormat="1" applyFill="1"/>
    <xf numFmtId="0" fontId="0" fillId="0" borderId="0" xfId="0" applyBorder="1"/>
    <xf numFmtId="16" fontId="8" fillId="0" borderId="0" xfId="0" applyNumberFormat="1" applyFont="1"/>
    <xf numFmtId="1" fontId="0" fillId="0" borderId="0" xfId="0" applyNumberFormat="1" applyAlignment="1">
      <alignment horizontal="center"/>
    </xf>
    <xf numFmtId="0" fontId="0" fillId="0" borderId="0" xfId="0" applyNumberFormat="1" applyBorder="1"/>
    <xf numFmtId="0" fontId="3" fillId="0" borderId="1" xfId="0" applyFont="1" applyBorder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3" fillId="0" borderId="4" xfId="0" applyFont="1" applyBorder="1"/>
    <xf numFmtId="0" fontId="0" fillId="0" borderId="5" xfId="0" applyBorder="1"/>
    <xf numFmtId="0" fontId="3" fillId="0" borderId="6" xfId="0" applyFont="1" applyBorder="1"/>
    <xf numFmtId="0" fontId="4" fillId="0" borderId="7" xfId="0" applyFon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20" fontId="0" fillId="0" borderId="0" xfId="0" applyNumberFormat="1"/>
    <xf numFmtId="174" fontId="3" fillId="0" borderId="8" xfId="0" applyNumberFormat="1" applyFont="1" applyBorder="1"/>
    <xf numFmtId="174" fontId="3" fillId="0" borderId="0" xfId="0" applyNumberFormat="1" applyFont="1" applyBorder="1"/>
    <xf numFmtId="174" fontId="0" fillId="0" borderId="0" xfId="0" applyNumberFormat="1" applyAlignment="1">
      <alignment horizontal="center"/>
    </xf>
    <xf numFmtId="1" fontId="3" fillId="0" borderId="0" xfId="0" applyNumberFormat="1" applyFont="1"/>
    <xf numFmtId="0" fontId="3" fillId="0" borderId="0" xfId="0" applyFont="1"/>
    <xf numFmtId="0" fontId="0" fillId="0" borderId="9" xfId="0" applyBorder="1"/>
    <xf numFmtId="0" fontId="0" fillId="0" borderId="10" xfId="0" applyBorder="1" applyAlignment="1"/>
    <xf numFmtId="0" fontId="0" fillId="0" borderId="11" xfId="0" applyBorder="1" applyAlignment="1"/>
    <xf numFmtId="1" fontId="9" fillId="0" borderId="0" xfId="0" applyNumberFormat="1" applyFont="1"/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16" fontId="0" fillId="0" borderId="0" xfId="0" applyNumberFormat="1" applyFill="1" applyAlignment="1">
      <alignment horizontal="center"/>
    </xf>
    <xf numFmtId="0" fontId="0" fillId="0" borderId="0" xfId="0" applyNumberFormat="1" applyFill="1"/>
    <xf numFmtId="2" fontId="0" fillId="0" borderId="0" xfId="0" applyNumberFormat="1" applyFill="1"/>
    <xf numFmtId="2" fontId="0" fillId="0" borderId="4" xfId="0" applyNumberFormat="1" applyFill="1" applyBorder="1"/>
    <xf numFmtId="1" fontId="10" fillId="0" borderId="0" xfId="0" applyNumberFormat="1" applyFont="1"/>
    <xf numFmtId="2" fontId="10" fillId="0" borderId="0" xfId="0" applyNumberFormat="1" applyFont="1"/>
    <xf numFmtId="0" fontId="10" fillId="0" borderId="0" xfId="0" applyFont="1"/>
    <xf numFmtId="0" fontId="10" fillId="0" borderId="0" xfId="0" applyNumberFormat="1" applyFont="1"/>
    <xf numFmtId="14" fontId="0" fillId="0" borderId="0" xfId="0" applyNumberFormat="1" applyFill="1"/>
    <xf numFmtId="0" fontId="4" fillId="0" borderId="0" xfId="0" applyFont="1" applyFill="1"/>
    <xf numFmtId="0" fontId="0" fillId="2" borderId="0" xfId="0" applyFill="1"/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0" fillId="3" borderId="0" xfId="0" applyFill="1"/>
    <xf numFmtId="0" fontId="4" fillId="3" borderId="0" xfId="0" applyFont="1" applyFill="1"/>
    <xf numFmtId="0" fontId="0" fillId="3" borderId="0" xfId="0" applyFill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0" fillId="4" borderId="0" xfId="0" applyFill="1"/>
    <xf numFmtId="0" fontId="4" fillId="4" borderId="0" xfId="0" applyFont="1" applyFill="1"/>
    <xf numFmtId="0" fontId="4" fillId="4" borderId="0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1" fontId="0" fillId="0" borderId="4" xfId="0" applyNumberFormat="1" applyFill="1" applyBorder="1"/>
    <xf numFmtId="0" fontId="4" fillId="0" borderId="0" xfId="0" applyFont="1" applyFill="1" applyBorder="1" applyAlignment="1">
      <alignment horizontal="center"/>
    </xf>
    <xf numFmtId="174" fontId="0" fillId="4" borderId="0" xfId="0" applyNumberFormat="1" applyFill="1"/>
    <xf numFmtId="0" fontId="0" fillId="5" borderId="0" xfId="0" applyFill="1"/>
    <xf numFmtId="1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4" fillId="2" borderId="12" xfId="0" applyFont="1" applyFill="1" applyBorder="1"/>
    <xf numFmtId="0" fontId="0" fillId="2" borderId="12" xfId="0" applyFill="1" applyBorder="1"/>
    <xf numFmtId="2" fontId="0" fillId="0" borderId="12" xfId="0" applyNumberFormat="1" applyBorder="1"/>
    <xf numFmtId="14" fontId="10" fillId="0" borderId="0" xfId="0" applyNumberFormat="1" applyFont="1" applyFill="1" applyAlignment="1">
      <alignment horizontal="center"/>
    </xf>
    <xf numFmtId="14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6" fontId="0" fillId="0" borderId="13" xfId="0" applyNumberFormat="1" applyBorder="1" applyAlignment="1">
      <alignment horizontal="left"/>
    </xf>
    <xf numFmtId="174" fontId="0" fillId="0" borderId="0" xfId="0" applyNumberFormat="1" applyBorder="1"/>
    <xf numFmtId="174" fontId="0" fillId="0" borderId="0" xfId="0" applyNumberFormat="1" applyBorder="1" applyAlignment="1">
      <alignment horizontal="center"/>
    </xf>
    <xf numFmtId="1" fontId="0" fillId="0" borderId="0" xfId="0" applyNumberFormat="1" applyFill="1" applyBorder="1"/>
    <xf numFmtId="2" fontId="0" fillId="0" borderId="0" xfId="0" applyNumberFormat="1" applyBorder="1"/>
    <xf numFmtId="1" fontId="0" fillId="0" borderId="0" xfId="0" applyNumberFormat="1" applyBorder="1"/>
    <xf numFmtId="1" fontId="3" fillId="0" borderId="0" xfId="0" applyNumberFormat="1" applyFont="1" applyFill="1" applyBorder="1"/>
    <xf numFmtId="2" fontId="0" fillId="0" borderId="0" xfId="0" applyNumberFormat="1" applyFill="1" applyBorder="1"/>
    <xf numFmtId="0" fontId="4" fillId="4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" fontId="0" fillId="0" borderId="0" xfId="0" applyNumberFormat="1" applyBorder="1" applyAlignment="1">
      <alignment horizontal="left"/>
    </xf>
    <xf numFmtId="1" fontId="0" fillId="0" borderId="7" xfId="0" applyNumberFormat="1" applyBorder="1"/>
    <xf numFmtId="16" fontId="0" fillId="0" borderId="1" xfId="0" applyNumberFormat="1" applyBorder="1" applyAlignment="1">
      <alignment horizontal="left"/>
    </xf>
    <xf numFmtId="14" fontId="0" fillId="0" borderId="1" xfId="0" applyNumberFormat="1" applyBorder="1"/>
    <xf numFmtId="1" fontId="0" fillId="0" borderId="2" xfId="0" applyNumberFormat="1" applyFill="1" applyBorder="1"/>
    <xf numFmtId="1" fontId="0" fillId="0" borderId="3" xfId="0" applyNumberFormat="1" applyBorder="1"/>
    <xf numFmtId="1" fontId="0" fillId="0" borderId="5" xfId="0" applyNumberFormat="1" applyBorder="1"/>
    <xf numFmtId="16" fontId="0" fillId="0" borderId="8" xfId="0" applyNumberFormat="1" applyBorder="1" applyAlignment="1">
      <alignment horizontal="left"/>
    </xf>
    <xf numFmtId="14" fontId="0" fillId="0" borderId="8" xfId="0" applyNumberFormat="1" applyBorder="1"/>
    <xf numFmtId="1" fontId="0" fillId="0" borderId="6" xfId="0" applyNumberFormat="1" applyFill="1" applyBorder="1"/>
    <xf numFmtId="16" fontId="0" fillId="0" borderId="14" xfId="0" applyNumberFormat="1" applyBorder="1" applyAlignment="1">
      <alignment horizontal="left"/>
    </xf>
    <xf numFmtId="1" fontId="0" fillId="6" borderId="0" xfId="0" applyNumberFormat="1" applyFill="1" applyBorder="1" applyAlignment="1">
      <alignment horizontal="center"/>
    </xf>
    <xf numFmtId="16" fontId="0" fillId="6" borderId="0" xfId="0" applyNumberFormat="1" applyFill="1" applyBorder="1" applyAlignment="1">
      <alignment horizontal="left"/>
    </xf>
    <xf numFmtId="16" fontId="4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2" fontId="0" fillId="5" borderId="0" xfId="0" applyNumberFormat="1" applyFill="1"/>
    <xf numFmtId="2" fontId="0" fillId="3" borderId="0" xfId="0" applyNumberFormat="1" applyFill="1"/>
    <xf numFmtId="0" fontId="0" fillId="3" borderId="0" xfId="0" applyFill="1" applyBorder="1"/>
    <xf numFmtId="0" fontId="0" fillId="7" borderId="0" xfId="0" applyFill="1"/>
    <xf numFmtId="0" fontId="4" fillId="7" borderId="0" xfId="0" applyFont="1" applyFill="1" applyBorder="1" applyAlignment="1">
      <alignment horizontal="center"/>
    </xf>
    <xf numFmtId="2" fontId="12" fillId="0" borderId="0" xfId="0" applyNumberFormat="1" applyFont="1"/>
    <xf numFmtId="14" fontId="11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16" fontId="3" fillId="7" borderId="0" xfId="0" applyNumberFormat="1" applyFont="1" applyFill="1" applyAlignment="1">
      <alignment horizontal="center"/>
    </xf>
    <xf numFmtId="18" fontId="0" fillId="0" borderId="0" xfId="0" applyNumberFormat="1"/>
    <xf numFmtId="0" fontId="3" fillId="0" borderId="0" xfId="0" applyFont="1" applyFill="1" applyBorder="1"/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/>
    <xf numFmtId="174" fontId="0" fillId="0" borderId="0" xfId="0" applyNumberFormat="1" applyFill="1" applyBorder="1"/>
    <xf numFmtId="0" fontId="0" fillId="0" borderId="0" xfId="0" applyNumberFormat="1" applyFill="1" applyBorder="1"/>
    <xf numFmtId="16" fontId="0" fillId="0" borderId="0" xfId="0" applyNumberFormat="1" applyFill="1" applyBorder="1" applyAlignment="1">
      <alignment horizontal="center"/>
    </xf>
    <xf numFmtId="16" fontId="0" fillId="0" borderId="0" xfId="0" applyNumberFormat="1" applyFill="1" applyBorder="1" applyAlignment="1">
      <alignment horizontal="right"/>
    </xf>
    <xf numFmtId="16" fontId="0" fillId="0" borderId="0" xfId="0" applyNumberFormat="1" applyBorder="1" applyAlignment="1">
      <alignment horizontal="right"/>
    </xf>
    <xf numFmtId="0" fontId="0" fillId="0" borderId="13" xfId="0" applyBorder="1" applyAlignment="1">
      <alignment horizontal="right"/>
    </xf>
    <xf numFmtId="0" fontId="0" fillId="8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/>
              <a:t>absorvance Ammonium</a:t>
            </a:r>
          </a:p>
        </c:rich>
      </c:tx>
      <c:layout>
        <c:manualLayout>
          <c:xMode val="edge"/>
          <c:yMode val="edge"/>
          <c:x val="0.27138019754109682"/>
          <c:y val="3.2407156002051463E-2"/>
        </c:manualLayout>
      </c:layout>
    </c:title>
    <c:plotArea>
      <c:layout>
        <c:manualLayout>
          <c:layoutTarget val="inner"/>
          <c:xMode val="edge"/>
          <c:yMode val="edge"/>
          <c:x val="4.0540573978381983E-2"/>
          <c:y val="0.14089394361423299"/>
          <c:w val="0.60810860967572977"/>
          <c:h val="0.82130859814150448"/>
        </c:manualLayout>
      </c:layout>
      <c:scatterChart>
        <c:scatterStyle val="lineMarker"/>
        <c:ser>
          <c:idx val="0"/>
          <c:order val="0"/>
          <c:tx>
            <c:v>absorvance Nitrite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260340942230707"/>
                  <c:y val="-5.9523214770567469E-2"/>
                </c:manualLayout>
              </c:layout>
              <c:numFmt formatCode="General" sourceLinked="0"/>
            </c:trendlineLbl>
          </c:trendline>
          <c:xVal>
            <c:numRef>
              <c:f>Sheet1!$G$11:$G$16</c:f>
              <c:numCache>
                <c:formatCode>General</c:formatCode>
                <c:ptCount val="6"/>
                <c:pt idx="0">
                  <c:v>-1E-3</c:v>
                </c:pt>
                <c:pt idx="1">
                  <c:v>2.2499999999999999E-2</c:v>
                </c:pt>
                <c:pt idx="2">
                  <c:v>0.109</c:v>
                </c:pt>
                <c:pt idx="3">
                  <c:v>0.20549999999999999</c:v>
                </c:pt>
                <c:pt idx="4">
                  <c:v>0.3105</c:v>
                </c:pt>
                <c:pt idx="5">
                  <c:v>0.39900000000000002</c:v>
                </c:pt>
              </c:numCache>
            </c:numRef>
          </c:xVal>
          <c:yVal>
            <c:numRef>
              <c:f>Sheet1!$F$11:$F$16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10</c:v>
                </c:pt>
                <c:pt idx="2" formatCode="General">
                  <c:v>50</c:v>
                </c:pt>
                <c:pt idx="3" formatCode="General">
                  <c:v>100</c:v>
                </c:pt>
                <c:pt idx="4" formatCode="General">
                  <c:v>150</c:v>
                </c:pt>
                <c:pt idx="5" formatCode="General">
                  <c:v>200</c:v>
                </c:pt>
              </c:numCache>
            </c:numRef>
          </c:yVal>
        </c:ser>
        <c:axId val="66792448"/>
        <c:axId val="66798336"/>
      </c:scatterChart>
      <c:valAx>
        <c:axId val="66792448"/>
        <c:scaling>
          <c:orientation val="minMax"/>
          <c:min val="-1.0000000000000005E-2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6798336"/>
        <c:crosses val="autoZero"/>
        <c:crossBetween val="midCat"/>
      </c:valAx>
      <c:valAx>
        <c:axId val="66798336"/>
        <c:scaling>
          <c:orientation val="minMax"/>
        </c:scaling>
        <c:axPos val="l"/>
        <c:numFmt formatCode="General" sourceLinked="1"/>
        <c:tickLblPos val="nextTo"/>
        <c:crossAx val="667924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62168069514151"/>
          <c:y val="0.48110127087786875"/>
          <c:w val="0.24662182503515706"/>
          <c:h val="0.13058463066685011"/>
        </c:manualLayout>
      </c:layout>
    </c:legend>
    <c:plotVisOnly val="1"/>
    <c:dispBlanksAs val="gap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/>
    <c:plotArea>
      <c:layout>
        <c:manualLayout>
          <c:layoutTarget val="inner"/>
          <c:xMode val="edge"/>
          <c:yMode val="edge"/>
          <c:x val="1.8151829807257668E-2"/>
          <c:y val="8.3003952569169939E-2"/>
          <c:w val="0.90346607449759742"/>
          <c:h val="0.86561264822134376"/>
        </c:manualLayout>
      </c:layout>
      <c:scatterChart>
        <c:scatterStyle val="lineMarker"/>
        <c:ser>
          <c:idx val="0"/>
          <c:order val="0"/>
          <c:tx>
            <c:v>no2/nh4</c:v>
          </c:tx>
          <c:spPr>
            <a:ln w="28575">
              <a:noFill/>
            </a:ln>
          </c:spPr>
          <c:xVal>
            <c:numRef>
              <c:f>Sheet1!$BO$49:$BO$176</c:f>
              <c:numCache>
                <c:formatCode>General</c:formatCode>
                <c:ptCount val="12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  <c:pt idx="88">
                  <c:v>92</c:v>
                </c:pt>
                <c:pt idx="89">
                  <c:v>93</c:v>
                </c:pt>
                <c:pt idx="90">
                  <c:v>94</c:v>
                </c:pt>
                <c:pt idx="91">
                  <c:v>95</c:v>
                </c:pt>
                <c:pt idx="92">
                  <c:v>96</c:v>
                </c:pt>
                <c:pt idx="93">
                  <c:v>97</c:v>
                </c:pt>
                <c:pt idx="94">
                  <c:v>98</c:v>
                </c:pt>
                <c:pt idx="95">
                  <c:v>99</c:v>
                </c:pt>
                <c:pt idx="96">
                  <c:v>100</c:v>
                </c:pt>
                <c:pt idx="97">
                  <c:v>101</c:v>
                </c:pt>
                <c:pt idx="98">
                  <c:v>102</c:v>
                </c:pt>
                <c:pt idx="99">
                  <c:v>103</c:v>
                </c:pt>
                <c:pt idx="100">
                  <c:v>104</c:v>
                </c:pt>
                <c:pt idx="101">
                  <c:v>105</c:v>
                </c:pt>
                <c:pt idx="102">
                  <c:v>106</c:v>
                </c:pt>
              </c:numCache>
            </c:numRef>
          </c:xVal>
          <c:yVal>
            <c:numRef>
              <c:f>Sheet1!$DH$51:$DH$189</c:f>
              <c:numCache>
                <c:formatCode>0</c:formatCode>
                <c:ptCount val="139"/>
              </c:numCache>
            </c:numRef>
          </c:yVal>
        </c:ser>
        <c:axId val="67509632"/>
        <c:axId val="67520000"/>
      </c:scatterChart>
      <c:valAx>
        <c:axId val="675096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520000"/>
        <c:crosses val="autoZero"/>
        <c:crossBetween val="midCat"/>
      </c:valAx>
      <c:valAx>
        <c:axId val="67520000"/>
        <c:scaling>
          <c:orientation val="minMax"/>
          <c:max val="4"/>
        </c:scaling>
        <c:axPos val="l"/>
        <c:majorGridlines/>
        <c:numFmt formatCode="0" sourceLinked="1"/>
        <c:tickLblPos val="nextTo"/>
        <c:crossAx val="67509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4637039949657009"/>
          <c:y val="0.51581027667984181"/>
          <c:w val="4.5379574518144172E-2"/>
          <c:h val="3.7549407114624497E-2"/>
        </c:manualLayout>
      </c:layout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 baseline="0"/>
              <a:t>influente y efluente de amonio </a:t>
            </a: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8.6801477269362437E-2"/>
          <c:y val="8.9449641460052146E-2"/>
          <c:w val="0.6504165488539897"/>
          <c:h val="0.80734035369072721"/>
        </c:manualLayout>
      </c:layout>
      <c:lineChart>
        <c:grouping val="standard"/>
        <c:ser>
          <c:idx val="1"/>
          <c:order val="0"/>
          <c:tx>
            <c:v>amonio total influente</c:v>
          </c:tx>
          <c:cat>
            <c:numRef>
              <c:f>Sheet1!$R$49:$R$111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34</c:v>
                </c:pt>
                <c:pt idx="29">
                  <c:v>35</c:v>
                </c:pt>
                <c:pt idx="30">
                  <c:v>36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  <c:pt idx="51">
                  <c:v>62</c:v>
                </c:pt>
                <c:pt idx="52">
                  <c:v>63</c:v>
                </c:pt>
                <c:pt idx="53">
                  <c:v>64</c:v>
                </c:pt>
                <c:pt idx="54">
                  <c:v>65</c:v>
                </c:pt>
                <c:pt idx="55">
                  <c:v>67</c:v>
                </c:pt>
                <c:pt idx="56">
                  <c:v>68</c:v>
                </c:pt>
                <c:pt idx="57">
                  <c:v>69</c:v>
                </c:pt>
                <c:pt idx="58">
                  <c:v>70</c:v>
                </c:pt>
                <c:pt idx="59">
                  <c:v>71</c:v>
                </c:pt>
                <c:pt idx="60">
                  <c:v>72</c:v>
                </c:pt>
                <c:pt idx="61">
                  <c:v>73</c:v>
                </c:pt>
                <c:pt idx="62">
                  <c:v>74</c:v>
                </c:pt>
              </c:numCache>
            </c:numRef>
          </c:cat>
          <c:val>
            <c:numRef>
              <c:f>Sheet1!$X$49:$X$111</c:f>
              <c:numCache>
                <c:formatCode>0.0</c:formatCode>
                <c:ptCount val="63"/>
                <c:pt idx="0">
                  <c:v>1.2</c:v>
                </c:pt>
                <c:pt idx="1">
                  <c:v>1.3350993377483444</c:v>
                </c:pt>
                <c:pt idx="2">
                  <c:v>0.59512915129151289</c:v>
                </c:pt>
                <c:pt idx="3">
                  <c:v>1.0534513274336281</c:v>
                </c:pt>
                <c:pt idx="4">
                  <c:v>1.28</c:v>
                </c:pt>
                <c:pt idx="5">
                  <c:v>1.2399540757749716</c:v>
                </c:pt>
                <c:pt idx="6">
                  <c:v>1.9221357063403788</c:v>
                </c:pt>
                <c:pt idx="7">
                  <c:v>2.7610619469026547</c:v>
                </c:pt>
                <c:pt idx="8">
                  <c:v>1.8580645161290319</c:v>
                </c:pt>
                <c:pt idx="9">
                  <c:v>2.1543307086614174</c:v>
                </c:pt>
                <c:pt idx="10">
                  <c:v>1.3896260554885402</c:v>
                </c:pt>
                <c:pt idx="11">
                  <c:v>1.2743362831858407</c:v>
                </c:pt>
                <c:pt idx="12">
                  <c:v>1.2743362831858407</c:v>
                </c:pt>
                <c:pt idx="13">
                  <c:v>2.6955074875207994</c:v>
                </c:pt>
                <c:pt idx="14">
                  <c:v>2.724450194049159</c:v>
                </c:pt>
                <c:pt idx="15">
                  <c:v>3.556845425867508</c:v>
                </c:pt>
                <c:pt idx="16">
                  <c:v>3.613550815558344</c:v>
                </c:pt>
                <c:pt idx="17">
                  <c:v>4.2</c:v>
                </c:pt>
                <c:pt idx="18">
                  <c:v>8.3781818181818206</c:v>
                </c:pt>
                <c:pt idx="19">
                  <c:v>4.9110840438489651</c:v>
                </c:pt>
                <c:pt idx="20">
                  <c:v>3.5478260869565212</c:v>
                </c:pt>
                <c:pt idx="21">
                  <c:v>0.33488372093023261</c:v>
                </c:pt>
                <c:pt idx="22">
                  <c:v>3.0055248618784529</c:v>
                </c:pt>
                <c:pt idx="23">
                  <c:v>2.5142857142857138</c:v>
                </c:pt>
                <c:pt idx="24">
                  <c:v>2.4685714285714284</c:v>
                </c:pt>
                <c:pt idx="25">
                  <c:v>1.6551724137931036</c:v>
                </c:pt>
                <c:pt idx="26">
                  <c:v>3.3032258064516129</c:v>
                </c:pt>
                <c:pt idx="27">
                  <c:v>3.0987341772151895</c:v>
                </c:pt>
                <c:pt idx="28">
                  <c:v>1.9525423728813562</c:v>
                </c:pt>
                <c:pt idx="29">
                  <c:v>5.909474954737477</c:v>
                </c:pt>
                <c:pt idx="30">
                  <c:v>3.1848341232227497</c:v>
                </c:pt>
                <c:pt idx="31">
                  <c:v>5.7792642140468224</c:v>
                </c:pt>
                <c:pt idx="32">
                  <c:v>6.6229965156794428</c:v>
                </c:pt>
                <c:pt idx="33">
                  <c:v>3.0139534883720924</c:v>
                </c:pt>
                <c:pt idx="34">
                  <c:v>5.2457142857142856</c:v>
                </c:pt>
                <c:pt idx="35">
                  <c:v>6.5158371040723981</c:v>
                </c:pt>
                <c:pt idx="36">
                  <c:v>6.3529411764705861</c:v>
                </c:pt>
                <c:pt idx="37">
                  <c:v>11.182561307901908</c:v>
                </c:pt>
                <c:pt idx="38">
                  <c:v>10.343661971830986</c:v>
                </c:pt>
                <c:pt idx="39">
                  <c:v>16.119402985074622</c:v>
                </c:pt>
                <c:pt idx="40">
                  <c:v>14.248021108179419</c:v>
                </c:pt>
                <c:pt idx="41">
                  <c:v>17.802197802197799</c:v>
                </c:pt>
                <c:pt idx="42">
                  <c:v>14.733252131546891</c:v>
                </c:pt>
                <c:pt idx="43">
                  <c:v>29.682451253481894</c:v>
                </c:pt>
                <c:pt idx="44">
                  <c:v>36</c:v>
                </c:pt>
                <c:pt idx="45">
                  <c:v>51.297709923664122</c:v>
                </c:pt>
                <c:pt idx="46">
                  <c:v>67.54397394136808</c:v>
                </c:pt>
                <c:pt idx="47">
                  <c:v>83.931428571428569</c:v>
                </c:pt>
                <c:pt idx="48">
                  <c:v>132.43795620437956</c:v>
                </c:pt>
                <c:pt idx="49">
                  <c:v>120.81855388813098</c:v>
                </c:pt>
                <c:pt idx="50">
                  <c:v>107.0366699702676</c:v>
                </c:pt>
                <c:pt idx="51">
                  <c:v>122.34659474039108</c:v>
                </c:pt>
                <c:pt idx="52">
                  <c:v>115.33180778032035</c:v>
                </c:pt>
                <c:pt idx="53">
                  <c:v>129.10344827586206</c:v>
                </c:pt>
                <c:pt idx="54">
                  <c:v>141</c:v>
                </c:pt>
                <c:pt idx="55">
                  <c:v>144.11437648927716</c:v>
                </c:pt>
                <c:pt idx="56">
                  <c:v>117.47110808973487</c:v>
                </c:pt>
                <c:pt idx="57">
                  <c:v>165.24590163934425</c:v>
                </c:pt>
                <c:pt idx="58">
                  <c:v>155.79263711495116</c:v>
                </c:pt>
                <c:pt idx="59">
                  <c:v>156.2660443407234</c:v>
                </c:pt>
                <c:pt idx="60">
                  <c:v>181.1920529801325</c:v>
                </c:pt>
                <c:pt idx="61">
                  <c:v>209.18918918918916</c:v>
                </c:pt>
                <c:pt idx="62">
                  <c:v>233.77677564825248</c:v>
                </c:pt>
              </c:numCache>
            </c:numRef>
          </c:val>
        </c:ser>
        <c:marker val="1"/>
        <c:axId val="67549440"/>
        <c:axId val="67560192"/>
      </c:lineChart>
      <c:catAx>
        <c:axId val="67549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</a:p>
            </c:rich>
          </c:tx>
        </c:title>
        <c:numFmt formatCode="General" sourceLinked="1"/>
        <c:majorTickMark val="none"/>
        <c:tickLblPos val="nextTo"/>
        <c:crossAx val="67560192"/>
        <c:crosses val="autoZero"/>
        <c:auto val="1"/>
        <c:lblAlgn val="ctr"/>
        <c:lblOffset val="100"/>
        <c:tickLblSkip val="10"/>
        <c:noMultiLvlLbl val="1"/>
      </c:catAx>
      <c:valAx>
        <c:axId val="67560192"/>
        <c:scaling>
          <c:orientation val="minMax"/>
          <c:max val="30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NH4+</a:t>
                </a:r>
                <a:r>
                  <a:rPr lang="en-US" baseline="0"/>
                  <a:t> mmol/día]</a:t>
                </a:r>
                <a:endParaRPr lang="en-US"/>
              </a:p>
            </c:rich>
          </c:tx>
        </c:title>
        <c:numFmt formatCode="0.0" sourceLinked="1"/>
        <c:majorTickMark val="none"/>
        <c:tickLblPos val="nextTo"/>
        <c:crossAx val="6754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283044206025768"/>
          <c:y val="0.53211068765979741"/>
          <c:w val="0.15338891188695555"/>
          <c:h val="4.35780304548972E-2"/>
        </c:manualLayout>
      </c:layout>
    </c:legend>
    <c:plotVisOnly val="1"/>
    <c:dispBlanksAs val="gap"/>
  </c:chart>
  <c:printSettings>
    <c:headerFooter/>
    <c:pageMargins b="0.75000000000000622" l="0.70000000000000062" r="0.70000000000000062" t="0.75000000000000622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Transformación total del amonio por areas</a:t>
            </a:r>
          </a:p>
        </c:rich>
      </c:tx>
    </c:title>
    <c:plotArea>
      <c:layout>
        <c:manualLayout>
          <c:layoutTarget val="inner"/>
          <c:xMode val="edge"/>
          <c:yMode val="edge"/>
          <c:x val="9.8143299630680386E-2"/>
          <c:y val="0.10089035389575107"/>
          <c:w val="0.5822284937549822"/>
          <c:h val="0.7655797442677581"/>
        </c:manualLayout>
      </c:layout>
      <c:scatterChart>
        <c:scatterStyle val="smoothMarker"/>
        <c:ser>
          <c:idx val="0"/>
          <c:order val="0"/>
          <c:tx>
            <c:v>Consumo amonio fase crecimiento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Sheet1!$R$49:$R$111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34</c:v>
                </c:pt>
                <c:pt idx="29">
                  <c:v>35</c:v>
                </c:pt>
                <c:pt idx="30">
                  <c:v>36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  <c:pt idx="51">
                  <c:v>62</c:v>
                </c:pt>
                <c:pt idx="52">
                  <c:v>63</c:v>
                </c:pt>
                <c:pt idx="53">
                  <c:v>64</c:v>
                </c:pt>
                <c:pt idx="54">
                  <c:v>65</c:v>
                </c:pt>
                <c:pt idx="55">
                  <c:v>67</c:v>
                </c:pt>
                <c:pt idx="56">
                  <c:v>68</c:v>
                </c:pt>
                <c:pt idx="57">
                  <c:v>69</c:v>
                </c:pt>
                <c:pt idx="58">
                  <c:v>70</c:v>
                </c:pt>
                <c:pt idx="59">
                  <c:v>71</c:v>
                </c:pt>
                <c:pt idx="60">
                  <c:v>72</c:v>
                </c:pt>
                <c:pt idx="61">
                  <c:v>73</c:v>
                </c:pt>
                <c:pt idx="62">
                  <c:v>74</c:v>
                </c:pt>
              </c:numCache>
            </c:numRef>
          </c:xVal>
          <c:yVal>
            <c:numRef>
              <c:f>Sheet1!$AJ$49:$AJ$111</c:f>
              <c:numCache>
                <c:formatCode>0.0</c:formatCode>
                <c:ptCount val="63"/>
                <c:pt idx="0">
                  <c:v>1.1874401999999999</c:v>
                </c:pt>
                <c:pt idx="1">
                  <c:v>1.3072195263576161</c:v>
                </c:pt>
                <c:pt idx="2">
                  <c:v>0.59392865676752771</c:v>
                </c:pt>
                <c:pt idx="3">
                  <c:v>1.0492375221238937</c:v>
                </c:pt>
                <c:pt idx="4">
                  <c:v>1.271208704</c:v>
                </c:pt>
                <c:pt idx="5">
                  <c:v>2.4799081515499433</c:v>
                </c:pt>
                <c:pt idx="6">
                  <c:v>1.9078980627363744</c:v>
                </c:pt>
                <c:pt idx="7">
                  <c:v>2.6885227752212386</c:v>
                </c:pt>
                <c:pt idx="8">
                  <c:v>1.773195189677419</c:v>
                </c:pt>
                <c:pt idx="9">
                  <c:v>1.9493323540157481</c:v>
                </c:pt>
                <c:pt idx="10">
                  <c:v>1.3764378094089262</c:v>
                </c:pt>
                <c:pt idx="11">
                  <c:v>1.2594690265486725</c:v>
                </c:pt>
                <c:pt idx="12">
                  <c:v>1.1893805309734513</c:v>
                </c:pt>
                <c:pt idx="13">
                  <c:v>4.8519134775374386</c:v>
                </c:pt>
                <c:pt idx="14">
                  <c:v>5.7156703777490296</c:v>
                </c:pt>
                <c:pt idx="15">
                  <c:v>2.7138730599369083</c:v>
                </c:pt>
                <c:pt idx="16">
                  <c:v>2.5529736511919703</c:v>
                </c:pt>
                <c:pt idx="17">
                  <c:v>3.4408500000000002</c:v>
                </c:pt>
                <c:pt idx="18">
                  <c:v>7.0355781818181837</c:v>
                </c:pt>
                <c:pt idx="19">
                  <c:v>3.6452521315468944</c:v>
                </c:pt>
                <c:pt idx="20">
                  <c:v>2.6129739130434779</c:v>
                </c:pt>
                <c:pt idx="21">
                  <c:v>0.28021395348837214</c:v>
                </c:pt>
                <c:pt idx="22">
                  <c:v>5.2572640883977897</c:v>
                </c:pt>
                <c:pt idx="23">
                  <c:v>2.0709542857142855</c:v>
                </c:pt>
                <c:pt idx="24">
                  <c:v>1.8178683428571429</c:v>
                </c:pt>
                <c:pt idx="25">
                  <c:v>1.3588303448275862</c:v>
                </c:pt>
                <c:pt idx="26">
                  <c:v>2.4496061935483873</c:v>
                </c:pt>
                <c:pt idx="27">
                  <c:v>2.0354345316455698</c:v>
                </c:pt>
                <c:pt idx="28">
                  <c:v>1.8124621016949156</c:v>
                </c:pt>
                <c:pt idx="29">
                  <c:v>4.186050452625226</c:v>
                </c:pt>
                <c:pt idx="30">
                  <c:v>1.9022854976303323</c:v>
                </c:pt>
                <c:pt idx="31">
                  <c:v>13.271097792642141</c:v>
                </c:pt>
                <c:pt idx="32">
                  <c:v>4.9296894773519169</c:v>
                </c:pt>
                <c:pt idx="33">
                  <c:v>2.3285905116279064</c:v>
                </c:pt>
                <c:pt idx="34">
                  <c:v>3.7336109142857143</c:v>
                </c:pt>
                <c:pt idx="35">
                  <c:v>4.615732126696833</c:v>
                </c:pt>
                <c:pt idx="36">
                  <c:v>4.8132529411764686</c:v>
                </c:pt>
                <c:pt idx="37">
                  <c:v>8.4279423433242506</c:v>
                </c:pt>
                <c:pt idx="38">
                  <c:v>7.9301408450704232</c:v>
                </c:pt>
                <c:pt idx="39">
                  <c:v>14.668656716417907</c:v>
                </c:pt>
                <c:pt idx="40">
                  <c:v>13.012850659630606</c:v>
                </c:pt>
                <c:pt idx="41">
                  <c:v>15.840573626373624</c:v>
                </c:pt>
                <c:pt idx="42">
                  <c:v>28.065578250913514</c:v>
                </c:pt>
                <c:pt idx="43">
                  <c:v>27.711462284122561</c:v>
                </c:pt>
                <c:pt idx="44">
                  <c:v>33.890999999999998</c:v>
                </c:pt>
                <c:pt idx="45">
                  <c:v>49.827774045801526</c:v>
                </c:pt>
                <c:pt idx="46">
                  <c:v>124.98100534201954</c:v>
                </c:pt>
                <c:pt idx="47">
                  <c:v>78.743766857142859</c:v>
                </c:pt>
                <c:pt idx="48">
                  <c:v>124.93600817518248</c:v>
                </c:pt>
                <c:pt idx="49">
                  <c:v>109.67082728512962</c:v>
                </c:pt>
                <c:pt idx="50">
                  <c:v>103.31714568880079</c:v>
                </c:pt>
                <c:pt idx="51">
                  <c:v>119.20024814565069</c:v>
                </c:pt>
                <c:pt idx="52">
                  <c:v>105.05189931350112</c:v>
                </c:pt>
                <c:pt idx="53">
                  <c:v>119.78951668965517</c:v>
                </c:pt>
                <c:pt idx="54">
                  <c:v>122.012</c:v>
                </c:pt>
                <c:pt idx="55">
                  <c:v>251.7678157267672</c:v>
                </c:pt>
                <c:pt idx="56">
                  <c:v>110.97104010876954</c:v>
                </c:pt>
                <c:pt idx="57">
                  <c:v>157.86491803278687</c:v>
                </c:pt>
                <c:pt idx="58">
                  <c:v>143.01764087152517</c:v>
                </c:pt>
                <c:pt idx="59">
                  <c:v>144.12938156359388</c:v>
                </c:pt>
                <c:pt idx="60">
                  <c:v>163.55602649006627</c:v>
                </c:pt>
                <c:pt idx="61">
                  <c:v>186.87567567567567</c:v>
                </c:pt>
                <c:pt idx="62">
                  <c:v>211.17874363021414</c:v>
                </c:pt>
              </c:numCache>
            </c:numRef>
          </c:yVal>
          <c:smooth val="1"/>
        </c:ser>
        <c:axId val="67575808"/>
        <c:axId val="67578112"/>
      </c:scatterChart>
      <c:valAx>
        <c:axId val="67575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(d)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578112"/>
        <c:crosses val="autoZero"/>
        <c:crossBetween val="midCat"/>
        <c:majorUnit val="10"/>
      </c:valAx>
      <c:valAx>
        <c:axId val="675781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NH4+ mmol/l/día</a:t>
                </a:r>
              </a:p>
            </c:rich>
          </c:tx>
        </c:title>
        <c:numFmt formatCode="0.0" sourceLinked="1"/>
        <c:majorTickMark val="none"/>
        <c:tickLblPos val="nextTo"/>
        <c:crossAx val="67575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148587836608291"/>
          <c:y val="0.35608360198500377"/>
          <c:w val="0.24270572746506094"/>
          <c:h val="0.25816061143912772"/>
        </c:manualLayout>
      </c:layout>
    </c:legend>
    <c:plotVisOnly val="1"/>
    <c:dispBlanksAs val="gap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 baseline="0"/>
              <a:t> Nitrite/Ammonia ratio</a:t>
            </a:r>
          </a:p>
          <a:p>
            <a:pPr>
              <a:defRPr/>
            </a:pPr>
            <a:r>
              <a:rPr lang="en-US" sz="1400" baseline="0"/>
              <a:t>Accumutated values </a:t>
            </a:r>
          </a:p>
        </c:rich>
      </c:tx>
    </c:title>
    <c:plotArea>
      <c:layout>
        <c:manualLayout>
          <c:layoutTarget val="inner"/>
          <c:xMode val="edge"/>
          <c:yMode val="edge"/>
          <c:x val="0.12152798381887445"/>
          <c:y val="0.16434540389972144"/>
          <c:w val="0.81250137753190355"/>
          <c:h val="0.7214484679665736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Sheet1!$CD$49:$CD$124</c:f>
              <c:numCache>
                <c:formatCode>0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16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33</c:v>
                </c:pt>
                <c:pt idx="26">
                  <c:v>34</c:v>
                </c:pt>
                <c:pt idx="27">
                  <c:v>35</c:v>
                </c:pt>
                <c:pt idx="28">
                  <c:v>36</c:v>
                </c:pt>
                <c:pt idx="29">
                  <c:v>37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52</c:v>
                </c:pt>
                <c:pt idx="41">
                  <c:v>53</c:v>
                </c:pt>
                <c:pt idx="42">
                  <c:v>54</c:v>
                </c:pt>
                <c:pt idx="43">
                  <c:v>55</c:v>
                </c:pt>
                <c:pt idx="44">
                  <c:v>57</c:v>
                </c:pt>
                <c:pt idx="45">
                  <c:v>58</c:v>
                </c:pt>
                <c:pt idx="46">
                  <c:v>59</c:v>
                </c:pt>
                <c:pt idx="47">
                  <c:v>60</c:v>
                </c:pt>
                <c:pt idx="48">
                  <c:v>61</c:v>
                </c:pt>
                <c:pt idx="49">
                  <c:v>62</c:v>
                </c:pt>
                <c:pt idx="50">
                  <c:v>63</c:v>
                </c:pt>
                <c:pt idx="51">
                  <c:v>64</c:v>
                </c:pt>
                <c:pt idx="52">
                  <c:v>65</c:v>
                </c:pt>
                <c:pt idx="53">
                  <c:v>67</c:v>
                </c:pt>
                <c:pt idx="54">
                  <c:v>68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72</c:v>
                </c:pt>
                <c:pt idx="59">
                  <c:v>73</c:v>
                </c:pt>
                <c:pt idx="60">
                  <c:v>74</c:v>
                </c:pt>
                <c:pt idx="61">
                  <c:v>75</c:v>
                </c:pt>
                <c:pt idx="62">
                  <c:v>76</c:v>
                </c:pt>
                <c:pt idx="63">
                  <c:v>77</c:v>
                </c:pt>
                <c:pt idx="64">
                  <c:v>78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</c:numCache>
            </c:numRef>
          </c:xVal>
          <c:yVal>
            <c:numRef>
              <c:f>Sheet1!$CK$49:$CK$124</c:f>
              <c:numCache>
                <c:formatCode>0.00</c:formatCode>
                <c:ptCount val="76"/>
                <c:pt idx="0">
                  <c:v>1.0105772063300535</c:v>
                </c:pt>
                <c:pt idx="1">
                  <c:v>1.0162104718986156</c:v>
                </c:pt>
                <c:pt idx="2">
                  <c:v>1.0134819214312334</c:v>
                </c:pt>
                <c:pt idx="3">
                  <c:v>1.0110816434220395</c:v>
                </c:pt>
                <c:pt idx="4">
                  <c:v>1.0101025804366288</c:v>
                </c:pt>
                <c:pt idx="5">
                  <c:v>0.99601179579338417</c:v>
                </c:pt>
                <c:pt idx="6">
                  <c:v>0.99824177289285088</c:v>
                </c:pt>
                <c:pt idx="7">
                  <c:v>1.0044303155565739</c:v>
                </c:pt>
                <c:pt idx="8">
                  <c:v>1.0098315284954589</c:v>
                </c:pt>
                <c:pt idx="9">
                  <c:v>1.02129714338803</c:v>
                </c:pt>
                <c:pt idx="10">
                  <c:v>1.020380079827844</c:v>
                </c:pt>
                <c:pt idx="11">
                  <c:v>1.0198069033017017</c:v>
                </c:pt>
                <c:pt idx="12">
                  <c:v>1.0252139218024539</c:v>
                </c:pt>
                <c:pt idx="13">
                  <c:v>1.1269286149706268</c:v>
                </c:pt>
                <c:pt idx="14">
                  <c:v>1.1418921350834284</c:v>
                </c:pt>
                <c:pt idx="15">
                  <c:v>1.1361750709415379</c:v>
                </c:pt>
                <c:pt idx="16">
                  <c:v>1.1435676783848996</c:v>
                </c:pt>
                <c:pt idx="17">
                  <c:v>1.1507427548430889</c:v>
                </c:pt>
                <c:pt idx="18">
                  <c:v>1.1650725557394057</c:v>
                </c:pt>
                <c:pt idx="19">
                  <c:v>1.1746448034032331</c:v>
                </c:pt>
                <c:pt idx="20">
                  <c:v>1.1747531919833734</c:v>
                </c:pt>
                <c:pt idx="21">
                  <c:v>1.1460573775849314</c:v>
                </c:pt>
                <c:pt idx="22">
                  <c:v>1.1522672586154139</c:v>
                </c:pt>
                <c:pt idx="23">
                  <c:v>1.1536782126134157</c:v>
                </c:pt>
                <c:pt idx="24">
                  <c:v>1.1609259381745454</c:v>
                </c:pt>
                <c:pt idx="25">
                  <c:v>1.1717660595509038</c:v>
                </c:pt>
                <c:pt idx="26">
                  <c:v>1.1693087236126407</c:v>
                </c:pt>
                <c:pt idx="27">
                  <c:v>1.1830447006916909</c:v>
                </c:pt>
                <c:pt idx="28">
                  <c:v>1.1953755107665576</c:v>
                </c:pt>
                <c:pt idx="29">
                  <c:v>1.2432955338144809</c:v>
                </c:pt>
                <c:pt idx="30">
                  <c:v>1.2442512091404612</c:v>
                </c:pt>
                <c:pt idx="31">
                  <c:v>1.2454619959262514</c:v>
                </c:pt>
                <c:pt idx="32">
                  <c:v>1.2863750429034591</c:v>
                </c:pt>
                <c:pt idx="33">
                  <c:v>1.3334087170015974</c:v>
                </c:pt>
                <c:pt idx="34">
                  <c:v>1.3715048571807613</c:v>
                </c:pt>
                <c:pt idx="35">
                  <c:v>1.4315476872167534</c:v>
                </c:pt>
                <c:pt idx="36">
                  <c:v>1.4783360189434509</c:v>
                </c:pt>
                <c:pt idx="37">
                  <c:v>1.438719509125256</c:v>
                </c:pt>
                <c:pt idx="38">
                  <c:v>1.498877636502685</c:v>
                </c:pt>
                <c:pt idx="39">
                  <c:v>1.4637961712170426</c:v>
                </c:pt>
                <c:pt idx="40">
                  <c:v>1.4427923175907569</c:v>
                </c:pt>
                <c:pt idx="41">
                  <c:v>1.3970419475286413</c:v>
                </c:pt>
                <c:pt idx="42">
                  <c:v>1.3856839939690675</c:v>
                </c:pt>
                <c:pt idx="43">
                  <c:v>1.3282180864007398</c:v>
                </c:pt>
                <c:pt idx="44">
                  <c:v>1.2753232809193407</c:v>
                </c:pt>
                <c:pt idx="45">
                  <c:v>1.2431472647855006</c:v>
                </c:pt>
                <c:pt idx="46">
                  <c:v>1.2072636097511584</c:v>
                </c:pt>
                <c:pt idx="47">
                  <c:v>1.1917611114689146</c:v>
                </c:pt>
                <c:pt idx="48">
                  <c:v>1.1728394456477471</c:v>
                </c:pt>
                <c:pt idx="49">
                  <c:v>1.1548376565736502</c:v>
                </c:pt>
                <c:pt idx="50">
                  <c:v>1.1492678724207499</c:v>
                </c:pt>
                <c:pt idx="51">
                  <c:v>1.1420961955174844</c:v>
                </c:pt>
                <c:pt idx="52">
                  <c:v>1.143349901804614</c:v>
                </c:pt>
                <c:pt idx="53">
                  <c:v>1.1435858534053895</c:v>
                </c:pt>
                <c:pt idx="54">
                  <c:v>1.1379680947811712</c:v>
                </c:pt>
                <c:pt idx="55">
                  <c:v>1.1301302160418178</c:v>
                </c:pt>
                <c:pt idx="56">
                  <c:v>1.1271830271922425</c:v>
                </c:pt>
                <c:pt idx="57">
                  <c:v>1.1242671656811758</c:v>
                </c:pt>
                <c:pt idx="58">
                  <c:v>1.1230919938598589</c:v>
                </c:pt>
                <c:pt idx="59">
                  <c:v>1.1228134232298126</c:v>
                </c:pt>
                <c:pt idx="60">
                  <c:v>1.1215708057162059</c:v>
                </c:pt>
                <c:pt idx="61">
                  <c:v>1.1227209415095236</c:v>
                </c:pt>
                <c:pt idx="62">
                  <c:v>1.1326127405267337</c:v>
                </c:pt>
                <c:pt idx="63">
                  <c:v>1.1353082914232182</c:v>
                </c:pt>
                <c:pt idx="64">
                  <c:v>1.1367792624357309</c:v>
                </c:pt>
                <c:pt idx="65">
                  <c:v>1.142822288030074</c:v>
                </c:pt>
                <c:pt idx="66">
                  <c:v>1.1434611951829177</c:v>
                </c:pt>
                <c:pt idx="67">
                  <c:v>1.1453652222743516</c:v>
                </c:pt>
                <c:pt idx="68">
                  <c:v>1.1458969544362059</c:v>
                </c:pt>
                <c:pt idx="69">
                  <c:v>1.1463000316263281</c:v>
                </c:pt>
                <c:pt idx="70">
                  <c:v>1.149126978150848</c:v>
                </c:pt>
                <c:pt idx="71">
                  <c:v>1.1521178746688121</c:v>
                </c:pt>
                <c:pt idx="72">
                  <c:v>1.1543125209015437</c:v>
                </c:pt>
                <c:pt idx="73">
                  <c:v>1.1565076457573806</c:v>
                </c:pt>
                <c:pt idx="74">
                  <c:v>1.1587080232761584</c:v>
                </c:pt>
                <c:pt idx="75">
                  <c:v>1.1617421934576222</c:v>
                </c:pt>
              </c:numCache>
            </c:numRef>
          </c:yVal>
        </c:ser>
        <c:axId val="67602688"/>
        <c:axId val="67609344"/>
      </c:scatterChart>
      <c:valAx>
        <c:axId val="67602688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(day)</a:t>
                </a:r>
              </a:p>
            </c:rich>
          </c:tx>
        </c:title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609344"/>
        <c:crosses val="autoZero"/>
        <c:crossBetween val="midCat"/>
        <c:majorUnit val="10"/>
      </c:valAx>
      <c:valAx>
        <c:axId val="67609344"/>
        <c:scaling>
          <c:orientation val="minMax"/>
          <c:max val="1.7"/>
          <c:min val="0.8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mmol NO</a:t>
                </a:r>
                <a:r>
                  <a:rPr lang="en-US" baseline="-25000"/>
                  <a:t>2</a:t>
                </a:r>
                <a:r>
                  <a:rPr lang="en-US" baseline="30000"/>
                  <a:t>-</a:t>
                </a:r>
                <a:r>
                  <a:rPr lang="en-US" baseline="0"/>
                  <a:t> / mmol NH</a:t>
                </a:r>
                <a:r>
                  <a:rPr lang="en-US" baseline="-25000"/>
                  <a:t>4</a:t>
                </a:r>
                <a:r>
                  <a:rPr lang="en-US" baseline="30000"/>
                  <a:t>+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274745257654703E-2"/>
              <c:y val="0.34741381923102566"/>
            </c:manualLayout>
          </c:layout>
        </c:title>
        <c:numFmt formatCode="0.00" sourceLinked="1"/>
        <c:majorTickMark val="none"/>
        <c:tickLblPos val="nextTo"/>
        <c:crossAx val="67602688"/>
        <c:crosses val="autoZero"/>
        <c:crossBetween val="midCat"/>
      </c:valAx>
    </c:plotArea>
    <c:plotVisOnly val="1"/>
    <c:dispBlanksAs val="gap"/>
  </c:chart>
  <c:printSettings>
    <c:headerFooter/>
    <c:pageMargins b="0.75000000000000511" l="0.70000000000000062" r="0.70000000000000062" t="0.75000000000000511" header="0.30000000000000032" footer="0.30000000000000032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 baseline="0"/>
              <a:t>Relacion Nitrito/Amonio</a:t>
            </a:r>
          </a:p>
        </c:rich>
      </c:tx>
    </c:title>
    <c:plotArea>
      <c:layout>
        <c:manualLayout>
          <c:layoutTarget val="inner"/>
          <c:xMode val="edge"/>
          <c:yMode val="edge"/>
          <c:x val="9.305760709010337E-2"/>
          <c:y val="9.4182952874709014E-2"/>
          <c:w val="0.7769571639586409"/>
          <c:h val="0.7922448388872581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Sheet1!$CD$49:$CD$124</c:f>
              <c:numCache>
                <c:formatCode>0</c:formatCode>
                <c:ptCount val="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16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33</c:v>
                </c:pt>
                <c:pt idx="26">
                  <c:v>34</c:v>
                </c:pt>
                <c:pt idx="27">
                  <c:v>35</c:v>
                </c:pt>
                <c:pt idx="28">
                  <c:v>36</c:v>
                </c:pt>
                <c:pt idx="29">
                  <c:v>37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52</c:v>
                </c:pt>
                <c:pt idx="41">
                  <c:v>53</c:v>
                </c:pt>
                <c:pt idx="42">
                  <c:v>54</c:v>
                </c:pt>
                <c:pt idx="43">
                  <c:v>55</c:v>
                </c:pt>
                <c:pt idx="44">
                  <c:v>57</c:v>
                </c:pt>
                <c:pt idx="45">
                  <c:v>58</c:v>
                </c:pt>
                <c:pt idx="46">
                  <c:v>59</c:v>
                </c:pt>
                <c:pt idx="47">
                  <c:v>60</c:v>
                </c:pt>
                <c:pt idx="48">
                  <c:v>61</c:v>
                </c:pt>
                <c:pt idx="49">
                  <c:v>62</c:v>
                </c:pt>
                <c:pt idx="50">
                  <c:v>63</c:v>
                </c:pt>
                <c:pt idx="51">
                  <c:v>64</c:v>
                </c:pt>
                <c:pt idx="52">
                  <c:v>65</c:v>
                </c:pt>
                <c:pt idx="53">
                  <c:v>67</c:v>
                </c:pt>
                <c:pt idx="54">
                  <c:v>68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72</c:v>
                </c:pt>
                <c:pt idx="59">
                  <c:v>73</c:v>
                </c:pt>
                <c:pt idx="60">
                  <c:v>74</c:v>
                </c:pt>
                <c:pt idx="61">
                  <c:v>75</c:v>
                </c:pt>
                <c:pt idx="62">
                  <c:v>76</c:v>
                </c:pt>
                <c:pt idx="63">
                  <c:v>77</c:v>
                </c:pt>
                <c:pt idx="64">
                  <c:v>78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</c:numCache>
            </c:numRef>
          </c:xVal>
          <c:yVal>
            <c:numRef>
              <c:f>Sheet1!$CJ$49:$CJ$124</c:f>
              <c:numCache>
                <c:formatCode>0.00</c:formatCode>
                <c:ptCount val="76"/>
                <c:pt idx="0">
                  <c:v>1.0105772063300535</c:v>
                </c:pt>
                <c:pt idx="1">
                  <c:v>1.0213275665093617</c:v>
                </c:pt>
                <c:pt idx="2">
                  <c:v>1.002021277320611</c:v>
                </c:pt>
                <c:pt idx="3">
                  <c:v>1.0040160642570282</c:v>
                </c:pt>
                <c:pt idx="4">
                  <c:v>1.0069156983997491</c:v>
                </c:pt>
                <c:pt idx="5">
                  <c:v>1</c:v>
                </c:pt>
                <c:pt idx="6">
                  <c:v>1.007462476052617</c:v>
                </c:pt>
                <c:pt idx="7">
                  <c:v>1.0269810515834097</c:v>
                </c:pt>
                <c:pt idx="8">
                  <c:v>1.0250827544751766</c:v>
                </c:pt>
                <c:pt idx="9">
                  <c:v>1.1051633674593047</c:v>
                </c:pt>
                <c:pt idx="10">
                  <c:v>1.0095814325859571</c:v>
                </c:pt>
                <c:pt idx="11">
                  <c:v>1.0118043844856661</c:v>
                </c:pt>
                <c:pt idx="12">
                  <c:v>1.1111111111111112</c:v>
                </c:pt>
                <c:pt idx="13">
                  <c:v>1.4299898423054869</c:v>
                </c:pt>
                <c:pt idx="14">
                  <c:v>1.1664482306684143</c:v>
                </c:pt>
                <c:pt idx="15">
                  <c:v>1.0449398443029014</c:v>
                </c:pt>
                <c:pt idx="16">
                  <c:v>1.2206286237412267</c:v>
                </c:pt>
                <c:pt idx="17">
                  <c:v>1.1584710770545064</c:v>
                </c:pt>
                <c:pt idx="18">
                  <c:v>1.2740345893068958</c:v>
                </c:pt>
                <c:pt idx="19">
                  <c:v>1.2101892027509666</c:v>
                </c:pt>
                <c:pt idx="20">
                  <c:v>1.1837466387809978</c:v>
                </c:pt>
                <c:pt idx="21">
                  <c:v>1.1480889597390274</c:v>
                </c:pt>
                <c:pt idx="22">
                  <c:v>1.3226417528398093</c:v>
                </c:pt>
                <c:pt idx="23">
                  <c:v>1.2077324108360943</c:v>
                </c:pt>
                <c:pt idx="24">
                  <c:v>1.3338148747034826</c:v>
                </c:pt>
                <c:pt idx="25">
                  <c:v>1.5151630484425902</c:v>
                </c:pt>
                <c:pt idx="26">
                  <c:v>1.0772872828929472</c:v>
                </c:pt>
                <c:pt idx="27">
                  <c:v>1.4117065767880146</c:v>
                </c:pt>
                <c:pt idx="28">
                  <c:v>1.6696104939770131</c:v>
                </c:pt>
                <c:pt idx="29">
                  <c:v>1.8569163807488849</c:v>
                </c:pt>
                <c:pt idx="30">
                  <c:v>1.3434916227699438</c:v>
                </c:pt>
                <c:pt idx="31">
                  <c:v>1.2902265500623433</c:v>
                </c:pt>
                <c:pt idx="32">
                  <c:v>2.3351059719421978</c:v>
                </c:pt>
                <c:pt idx="33">
                  <c:v>2.3386474430160553</c:v>
                </c:pt>
                <c:pt idx="34">
                  <c:v>2.1962889228637108</c:v>
                </c:pt>
                <c:pt idx="35">
                  <c:v>2.2078677402305611</c:v>
                </c:pt>
                <c:pt idx="36">
                  <c:v>2.1739130434782608</c:v>
                </c:pt>
                <c:pt idx="37">
                  <c:v>1.0989010989010988</c:v>
                </c:pt>
                <c:pt idx="38">
                  <c:v>2.1483688702032921</c:v>
                </c:pt>
                <c:pt idx="39">
                  <c:v>1.1238354255402838</c:v>
                </c:pt>
                <c:pt idx="40">
                  <c:v>1.0476337377503884</c:v>
                </c:pt>
                <c:pt idx="41">
                  <c:v>1.0711254046845671</c:v>
                </c:pt>
                <c:pt idx="42">
                  <c:v>1.3102383034909664</c:v>
                </c:pt>
                <c:pt idx="43">
                  <c:v>1.0287796817814474</c:v>
                </c:pt>
                <c:pt idx="44">
                  <c:v>1.6213017431695909</c:v>
                </c:pt>
                <c:pt idx="45">
                  <c:v>1.065107906862145</c:v>
                </c:pt>
                <c:pt idx="46">
                  <c:v>1.056205576473547</c:v>
                </c:pt>
                <c:pt idx="47">
                  <c:v>1.0976556709242669</c:v>
                </c:pt>
                <c:pt idx="48">
                  <c:v>1.034326167659501</c:v>
                </c:pt>
                <c:pt idx="49">
                  <c:v>1.0087585746788237</c:v>
                </c:pt>
                <c:pt idx="50">
                  <c:v>1.0960806557856986</c:v>
                </c:pt>
                <c:pt idx="51">
                  <c:v>1.0753814210920829</c:v>
                </c:pt>
                <c:pt idx="52">
                  <c:v>1.1534668721109398</c:v>
                </c:pt>
                <c:pt idx="53">
                  <c:v>1.1430070597214272</c:v>
                </c:pt>
                <c:pt idx="54">
                  <c:v>1.058574453069866</c:v>
                </c:pt>
                <c:pt idx="55">
                  <c:v>1.0467550593161201</c:v>
                </c:pt>
                <c:pt idx="56">
                  <c:v>1.0893246187363834</c:v>
                </c:pt>
                <c:pt idx="57">
                  <c:v>1.0842067220816769</c:v>
                </c:pt>
                <c:pt idx="58">
                  <c:v>1.1072008862629248</c:v>
                </c:pt>
                <c:pt idx="59">
                  <c:v>1.1194029850746268</c:v>
                </c:pt>
                <c:pt idx="60">
                  <c:v>1.1070090276586206</c:v>
                </c:pt>
                <c:pt idx="61">
                  <c:v>1.137933898937056</c:v>
                </c:pt>
                <c:pt idx="62">
                  <c:v>1.2849151602642557</c:v>
                </c:pt>
                <c:pt idx="63">
                  <c:v>1.1794093989493819</c:v>
                </c:pt>
                <c:pt idx="64">
                  <c:v>1.1601392399115742</c:v>
                </c:pt>
                <c:pt idx="65">
                  <c:v>1.1773445934570255</c:v>
                </c:pt>
                <c:pt idx="66">
                  <c:v>1.1551992920938738</c:v>
                </c:pt>
                <c:pt idx="67">
                  <c:v>1.1824693820661705</c:v>
                </c:pt>
                <c:pt idx="68">
                  <c:v>1.1571953442173986</c:v>
                </c:pt>
                <c:pt idx="69">
                  <c:v>1.155221311522755</c:v>
                </c:pt>
                <c:pt idx="70">
                  <c:v>1.2176485987908749</c:v>
                </c:pt>
                <c:pt idx="71">
                  <c:v>1.2205242632984985</c:v>
                </c:pt>
                <c:pt idx="72">
                  <c:v>1.2129028606313967</c:v>
                </c:pt>
                <c:pt idx="73">
                  <c:v>1.2002991778689456</c:v>
                </c:pt>
                <c:pt idx="74">
                  <c:v>1.2179526216430181</c:v>
                </c:pt>
                <c:pt idx="75">
                  <c:v>1.2495301246093917</c:v>
                </c:pt>
              </c:numCache>
            </c:numRef>
          </c:yVal>
        </c:ser>
        <c:axId val="67620224"/>
        <c:axId val="67643264"/>
      </c:scatterChart>
      <c:valAx>
        <c:axId val="67620224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Tiempo (días)</a:t>
                </a:r>
              </a:p>
            </c:rich>
          </c:tx>
        </c:title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643264"/>
        <c:crosses val="autoZero"/>
        <c:crossBetween val="midCat"/>
        <c:majorUnit val="10"/>
      </c:valAx>
      <c:valAx>
        <c:axId val="67643264"/>
        <c:scaling>
          <c:orientation val="minMax"/>
          <c:min val="0.9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NO2- mmol/día</a:t>
                </a:r>
              </a:p>
            </c:rich>
          </c:tx>
        </c:title>
        <c:numFmt formatCode="0.00" sourceLinked="1"/>
        <c:majorTickMark val="none"/>
        <c:tickLblPos val="nextTo"/>
        <c:crossAx val="676202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43426883308714"/>
          <c:y val="0.42382328793619051"/>
          <c:w val="0.19350073855243721"/>
          <c:h val="4.4321389588098357E-2"/>
        </c:manualLayout>
      </c:layout>
    </c:legend>
    <c:plotVisOnly val="1"/>
    <c:dispBlanksAs val="gap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 baseline="0"/>
              <a:t>influente y efluente de amonio </a:t>
            </a: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8.7425200824055485E-2"/>
          <c:y val="8.9244851258581212E-2"/>
          <c:w val="0.65269499245356488"/>
          <c:h val="0.80549199084668188"/>
        </c:manualLayout>
      </c:layout>
      <c:scatterChart>
        <c:scatterStyle val="smoothMarker"/>
        <c:ser>
          <c:idx val="0"/>
          <c:order val="0"/>
          <c:tx>
            <c:v>amonio total efluente</c:v>
          </c:tx>
          <c:spPr>
            <a:ln>
              <a:noFill/>
            </a:ln>
          </c:spPr>
          <c:xVal>
            <c:numRef>
              <c:f>Sheet1!$R$48:$R$126</c:f>
              <c:numCache>
                <c:formatCode>General</c:formatCode>
                <c:ptCount val="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40</c:v>
                </c:pt>
                <c:pt idx="33">
                  <c:v>41</c:v>
                </c:pt>
                <c:pt idx="34">
                  <c:v>42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52</c:v>
                </c:pt>
                <c:pt idx="44">
                  <c:v>53</c:v>
                </c:pt>
                <c:pt idx="45">
                  <c:v>54</c:v>
                </c:pt>
                <c:pt idx="46">
                  <c:v>55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67</c:v>
                </c:pt>
                <c:pt idx="57">
                  <c:v>68</c:v>
                </c:pt>
                <c:pt idx="58">
                  <c:v>69</c:v>
                </c:pt>
                <c:pt idx="59">
                  <c:v>70</c:v>
                </c:pt>
                <c:pt idx="60">
                  <c:v>71</c:v>
                </c:pt>
                <c:pt idx="61">
                  <c:v>72</c:v>
                </c:pt>
                <c:pt idx="62">
                  <c:v>73</c:v>
                </c:pt>
                <c:pt idx="63">
                  <c:v>74</c:v>
                </c:pt>
                <c:pt idx="64">
                  <c:v>75</c:v>
                </c:pt>
                <c:pt idx="65">
                  <c:v>76</c:v>
                </c:pt>
                <c:pt idx="66">
                  <c:v>77</c:v>
                </c:pt>
                <c:pt idx="67">
                  <c:v>78</c:v>
                </c:pt>
                <c:pt idx="68">
                  <c:v>80</c:v>
                </c:pt>
                <c:pt idx="69">
                  <c:v>81</c:v>
                </c:pt>
                <c:pt idx="70">
                  <c:v>82</c:v>
                </c:pt>
                <c:pt idx="71">
                  <c:v>83</c:v>
                </c:pt>
                <c:pt idx="72">
                  <c:v>84</c:v>
                </c:pt>
                <c:pt idx="73">
                  <c:v>85</c:v>
                </c:pt>
                <c:pt idx="74">
                  <c:v>86</c:v>
                </c:pt>
                <c:pt idx="75">
                  <c:v>87</c:v>
                </c:pt>
                <c:pt idx="76">
                  <c:v>88</c:v>
                </c:pt>
                <c:pt idx="77">
                  <c:v>89</c:v>
                </c:pt>
                <c:pt idx="78">
                  <c:v>90</c:v>
                </c:pt>
              </c:numCache>
            </c:numRef>
          </c:xVal>
          <c:yVal>
            <c:numRef>
              <c:f>Sheet1!$AE$48:$AE$126</c:f>
              <c:numCache>
                <c:formatCode>0.00</c:formatCode>
                <c:ptCount val="79"/>
                <c:pt idx="0">
                  <c:v>8.04256E-2</c:v>
                </c:pt>
                <c:pt idx="1">
                  <c:v>6.6985600000000006E-2</c:v>
                </c:pt>
                <c:pt idx="2">
                  <c:v>0.13364608000000003</c:v>
                </c:pt>
                <c:pt idx="3">
                  <c:v>1.2910080000000006E-2</c:v>
                </c:pt>
                <c:pt idx="4">
                  <c:v>2.5600000000000001E-2</c:v>
                </c:pt>
                <c:pt idx="5">
                  <c:v>4.3956479999999999E-2</c:v>
                </c:pt>
                <c:pt idx="6">
                  <c:v>0</c:v>
                </c:pt>
                <c:pt idx="7">
                  <c:v>4.7406079999999989E-2</c:v>
                </c:pt>
                <c:pt idx="8">
                  <c:v>0.16814208</c:v>
                </c:pt>
                <c:pt idx="9">
                  <c:v>0.29232767999999998</c:v>
                </c:pt>
                <c:pt idx="10">
                  <c:v>0.60900095999999992</c:v>
                </c:pt>
                <c:pt idx="11">
                  <c:v>6.0739200000000014E-2</c:v>
                </c:pt>
                <c:pt idx="12">
                  <c:v>0.112</c:v>
                </c:pt>
                <c:pt idx="13">
                  <c:v>0.64</c:v>
                </c:pt>
                <c:pt idx="14">
                  <c:v>0.96</c:v>
                </c:pt>
                <c:pt idx="15">
                  <c:v>2.8866656000000002</c:v>
                </c:pt>
                <c:pt idx="16">
                  <c:v>2.2752000000000003</c:v>
                </c:pt>
                <c:pt idx="17">
                  <c:v>3.7568000000000001</c:v>
                </c:pt>
                <c:pt idx="18">
                  <c:v>2.3136000000000001</c:v>
                </c:pt>
                <c:pt idx="19">
                  <c:v>2.0512000000000001</c:v>
                </c:pt>
                <c:pt idx="20">
                  <c:v>3.2992000000000004</c:v>
                </c:pt>
                <c:pt idx="21">
                  <c:v>3.3728000000000002</c:v>
                </c:pt>
                <c:pt idx="22">
                  <c:v>2.0895999999999999</c:v>
                </c:pt>
                <c:pt idx="23">
                  <c:v>1.6051199999999999</c:v>
                </c:pt>
                <c:pt idx="24">
                  <c:v>2.2569599999999999</c:v>
                </c:pt>
                <c:pt idx="25">
                  <c:v>3.3740159999999997</c:v>
                </c:pt>
                <c:pt idx="26">
                  <c:v>2.291712</c:v>
                </c:pt>
                <c:pt idx="27">
                  <c:v>3.3077760000000005</c:v>
                </c:pt>
                <c:pt idx="28">
                  <c:v>4.3921919999999997</c:v>
                </c:pt>
                <c:pt idx="29">
                  <c:v>0.91830400000000001</c:v>
                </c:pt>
                <c:pt idx="30">
                  <c:v>3.7329599999999998</c:v>
                </c:pt>
                <c:pt idx="31">
                  <c:v>5.1546240000000001</c:v>
                </c:pt>
                <c:pt idx="32">
                  <c:v>5.4517439999999997</c:v>
                </c:pt>
                <c:pt idx="33">
                  <c:v>4.9088799999999999</c:v>
                </c:pt>
                <c:pt idx="34">
                  <c:v>4.3660159999999992</c:v>
                </c:pt>
                <c:pt idx="35">
                  <c:v>5.5344959999999999</c:v>
                </c:pt>
                <c:pt idx="36">
                  <c:v>5.5989759999999995</c:v>
                </c:pt>
                <c:pt idx="37">
                  <c:v>4.6532799999999996</c:v>
                </c:pt>
                <c:pt idx="38">
                  <c:v>4.7295680000000004</c:v>
                </c:pt>
                <c:pt idx="39">
                  <c:v>4.4800000000000004</c:v>
                </c:pt>
                <c:pt idx="40">
                  <c:v>4.32</c:v>
                </c:pt>
                <c:pt idx="41">
                  <c:v>4.1611520000000013</c:v>
                </c:pt>
                <c:pt idx="42">
                  <c:v>5.2891199999999996</c:v>
                </c:pt>
                <c:pt idx="43">
                  <c:v>3.0427520000000006</c:v>
                </c:pt>
                <c:pt idx="44">
                  <c:v>4.2497600000000011</c:v>
                </c:pt>
                <c:pt idx="45">
                  <c:v>5.6239999999999997</c:v>
                </c:pt>
                <c:pt idx="46">
                  <c:v>3.66784</c:v>
                </c:pt>
                <c:pt idx="47">
                  <c:v>9.5766399999999994</c:v>
                </c:pt>
                <c:pt idx="48">
                  <c:v>11.8672</c:v>
                </c:pt>
                <c:pt idx="49">
                  <c:v>10.875840000000002</c:v>
                </c:pt>
                <c:pt idx="50">
                  <c:v>17.715520000000001</c:v>
                </c:pt>
                <c:pt idx="51">
                  <c:v>6.6719999999999997</c:v>
                </c:pt>
                <c:pt idx="52">
                  <c:v>4.9376000000000007</c:v>
                </c:pt>
                <c:pt idx="53">
                  <c:v>17.113600000000002</c:v>
                </c:pt>
                <c:pt idx="54">
                  <c:v>13.851488000000002</c:v>
                </c:pt>
                <c:pt idx="55">
                  <c:v>25.856000000000002</c:v>
                </c:pt>
                <c:pt idx="56">
                  <c:v>24.288</c:v>
                </c:pt>
                <c:pt idx="57">
                  <c:v>10.624000000000001</c:v>
                </c:pt>
                <c:pt idx="58">
                  <c:v>8.5760000000000005</c:v>
                </c:pt>
                <c:pt idx="59">
                  <c:v>15.744</c:v>
                </c:pt>
                <c:pt idx="60">
                  <c:v>14.912000000000001</c:v>
                </c:pt>
                <c:pt idx="61">
                  <c:v>18.687999999999999</c:v>
                </c:pt>
                <c:pt idx="62">
                  <c:v>20.48</c:v>
                </c:pt>
                <c:pt idx="63">
                  <c:v>18.559680000000004</c:v>
                </c:pt>
                <c:pt idx="64">
                  <c:v>23.273152000000003</c:v>
                </c:pt>
                <c:pt idx="65">
                  <c:v>26.573792000000005</c:v>
                </c:pt>
                <c:pt idx="66">
                  <c:v>13.206656000000001</c:v>
                </c:pt>
                <c:pt idx="67">
                  <c:v>10.502623999999999</c:v>
                </c:pt>
                <c:pt idx="68">
                  <c:v>12.921152000000001</c:v>
                </c:pt>
                <c:pt idx="69">
                  <c:v>12.994912000000001</c:v>
                </c:pt>
                <c:pt idx="70">
                  <c:v>17.109376000000001</c:v>
                </c:pt>
                <c:pt idx="71">
                  <c:v>13.281600000000001</c:v>
                </c:pt>
                <c:pt idx="72">
                  <c:v>12.998080000000002</c:v>
                </c:pt>
                <c:pt idx="73">
                  <c:v>15.11904</c:v>
                </c:pt>
                <c:pt idx="74">
                  <c:v>16.481600000000004</c:v>
                </c:pt>
                <c:pt idx="75">
                  <c:v>14.502080000000001</c:v>
                </c:pt>
                <c:pt idx="76">
                  <c:v>14.92736</c:v>
                </c:pt>
                <c:pt idx="77">
                  <c:v>15.158400000000002</c:v>
                </c:pt>
                <c:pt idx="78">
                  <c:v>19.142240000000001</c:v>
                </c:pt>
              </c:numCache>
            </c:numRef>
          </c:yVal>
          <c:smooth val="1"/>
        </c:ser>
        <c:axId val="66844544"/>
        <c:axId val="66985984"/>
      </c:scatterChart>
      <c:scatterChart>
        <c:scatterStyle val="lineMarker"/>
        <c:ser>
          <c:idx val="1"/>
          <c:order val="1"/>
          <c:tx>
            <c:v>amonio total influente</c:v>
          </c:tx>
          <c:spPr>
            <a:ln w="28575">
              <a:noFill/>
            </a:ln>
          </c:spPr>
          <c:trendline>
            <c:spPr>
              <a:ln w="25400">
                <a:solidFill>
                  <a:schemeClr val="accent2"/>
                </a:solidFill>
              </a:ln>
            </c:spPr>
            <c:trendlineType val="exp"/>
            <c:dispRSqr val="1"/>
            <c:dispEq val="1"/>
            <c:trendlineLbl>
              <c:layout>
                <c:manualLayout>
                  <c:x val="0.39512086317077505"/>
                  <c:y val="-0.2726989313735112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en-US" baseline="0"/>
                      <a:t>y = </a:t>
                    </a:r>
                    <a:r>
                      <a:rPr lang="en-US" sz="1800" baseline="0"/>
                      <a:t>0,514e</a:t>
                    </a:r>
                    <a:r>
                      <a:rPr lang="en-US" sz="1800" baseline="30000"/>
                      <a:t>0,0926x</a:t>
                    </a:r>
                    <a:r>
                      <a:rPr lang="en-US" baseline="0"/>
                      <a:t>
R² = </a:t>
                    </a:r>
                    <a:r>
                      <a:rPr lang="en-US" sz="1200" baseline="0"/>
                      <a:t>0,8546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Sheet1!$R$49:$R$111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34</c:v>
                </c:pt>
                <c:pt idx="29">
                  <c:v>35</c:v>
                </c:pt>
                <c:pt idx="30">
                  <c:v>36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  <c:pt idx="51">
                  <c:v>62</c:v>
                </c:pt>
                <c:pt idx="52">
                  <c:v>63</c:v>
                </c:pt>
                <c:pt idx="53">
                  <c:v>64</c:v>
                </c:pt>
                <c:pt idx="54">
                  <c:v>65</c:v>
                </c:pt>
                <c:pt idx="55">
                  <c:v>67</c:v>
                </c:pt>
                <c:pt idx="56">
                  <c:v>68</c:v>
                </c:pt>
                <c:pt idx="57">
                  <c:v>69</c:v>
                </c:pt>
                <c:pt idx="58">
                  <c:v>70</c:v>
                </c:pt>
                <c:pt idx="59">
                  <c:v>71</c:v>
                </c:pt>
                <c:pt idx="60">
                  <c:v>72</c:v>
                </c:pt>
                <c:pt idx="61">
                  <c:v>73</c:v>
                </c:pt>
                <c:pt idx="62">
                  <c:v>74</c:v>
                </c:pt>
              </c:numCache>
            </c:numRef>
          </c:xVal>
          <c:yVal>
            <c:numRef>
              <c:f>Sheet1!$X$49:$X$111</c:f>
              <c:numCache>
                <c:formatCode>0.0</c:formatCode>
                <c:ptCount val="63"/>
                <c:pt idx="0">
                  <c:v>1.2</c:v>
                </c:pt>
                <c:pt idx="1">
                  <c:v>1.3350993377483444</c:v>
                </c:pt>
                <c:pt idx="2">
                  <c:v>0.59512915129151289</c:v>
                </c:pt>
                <c:pt idx="3">
                  <c:v>1.0534513274336281</c:v>
                </c:pt>
                <c:pt idx="4">
                  <c:v>1.28</c:v>
                </c:pt>
                <c:pt idx="5">
                  <c:v>1.2399540757749716</c:v>
                </c:pt>
                <c:pt idx="6">
                  <c:v>1.9221357063403788</c:v>
                </c:pt>
                <c:pt idx="7">
                  <c:v>2.7610619469026547</c:v>
                </c:pt>
                <c:pt idx="8">
                  <c:v>1.8580645161290319</c:v>
                </c:pt>
                <c:pt idx="9">
                  <c:v>2.1543307086614174</c:v>
                </c:pt>
                <c:pt idx="10">
                  <c:v>1.3896260554885402</c:v>
                </c:pt>
                <c:pt idx="11">
                  <c:v>1.2743362831858407</c:v>
                </c:pt>
                <c:pt idx="12">
                  <c:v>1.2743362831858407</c:v>
                </c:pt>
                <c:pt idx="13">
                  <c:v>2.6955074875207994</c:v>
                </c:pt>
                <c:pt idx="14">
                  <c:v>2.724450194049159</c:v>
                </c:pt>
                <c:pt idx="15">
                  <c:v>3.556845425867508</c:v>
                </c:pt>
                <c:pt idx="16">
                  <c:v>3.613550815558344</c:v>
                </c:pt>
                <c:pt idx="17">
                  <c:v>4.2</c:v>
                </c:pt>
                <c:pt idx="18">
                  <c:v>8.3781818181818206</c:v>
                </c:pt>
                <c:pt idx="19">
                  <c:v>4.9110840438489651</c:v>
                </c:pt>
                <c:pt idx="20">
                  <c:v>3.5478260869565212</c:v>
                </c:pt>
                <c:pt idx="21">
                  <c:v>0.33488372093023261</c:v>
                </c:pt>
                <c:pt idx="22">
                  <c:v>3.0055248618784529</c:v>
                </c:pt>
                <c:pt idx="23">
                  <c:v>2.5142857142857138</c:v>
                </c:pt>
                <c:pt idx="24">
                  <c:v>2.4685714285714284</c:v>
                </c:pt>
                <c:pt idx="25">
                  <c:v>1.6551724137931036</c:v>
                </c:pt>
                <c:pt idx="26">
                  <c:v>3.3032258064516129</c:v>
                </c:pt>
                <c:pt idx="27">
                  <c:v>3.0987341772151895</c:v>
                </c:pt>
                <c:pt idx="28">
                  <c:v>1.9525423728813562</c:v>
                </c:pt>
                <c:pt idx="29">
                  <c:v>5.909474954737477</c:v>
                </c:pt>
                <c:pt idx="30">
                  <c:v>3.1848341232227497</c:v>
                </c:pt>
                <c:pt idx="31">
                  <c:v>5.7792642140468224</c:v>
                </c:pt>
                <c:pt idx="32">
                  <c:v>6.6229965156794428</c:v>
                </c:pt>
                <c:pt idx="33">
                  <c:v>3.0139534883720924</c:v>
                </c:pt>
                <c:pt idx="34">
                  <c:v>5.2457142857142856</c:v>
                </c:pt>
                <c:pt idx="35">
                  <c:v>6.5158371040723981</c:v>
                </c:pt>
                <c:pt idx="36">
                  <c:v>6.3529411764705861</c:v>
                </c:pt>
                <c:pt idx="37">
                  <c:v>11.182561307901908</c:v>
                </c:pt>
                <c:pt idx="38">
                  <c:v>10.343661971830986</c:v>
                </c:pt>
                <c:pt idx="39">
                  <c:v>16.119402985074622</c:v>
                </c:pt>
                <c:pt idx="40">
                  <c:v>14.248021108179419</c:v>
                </c:pt>
                <c:pt idx="41">
                  <c:v>17.802197802197799</c:v>
                </c:pt>
                <c:pt idx="42">
                  <c:v>14.733252131546891</c:v>
                </c:pt>
                <c:pt idx="43">
                  <c:v>29.682451253481894</c:v>
                </c:pt>
                <c:pt idx="44">
                  <c:v>36</c:v>
                </c:pt>
                <c:pt idx="45">
                  <c:v>51.297709923664122</c:v>
                </c:pt>
                <c:pt idx="46">
                  <c:v>67.54397394136808</c:v>
                </c:pt>
                <c:pt idx="47">
                  <c:v>83.931428571428569</c:v>
                </c:pt>
                <c:pt idx="48">
                  <c:v>132.43795620437956</c:v>
                </c:pt>
                <c:pt idx="49">
                  <c:v>120.81855388813098</c:v>
                </c:pt>
                <c:pt idx="50">
                  <c:v>107.0366699702676</c:v>
                </c:pt>
                <c:pt idx="51">
                  <c:v>122.34659474039108</c:v>
                </c:pt>
                <c:pt idx="52">
                  <c:v>115.33180778032035</c:v>
                </c:pt>
                <c:pt idx="53">
                  <c:v>129.10344827586206</c:v>
                </c:pt>
                <c:pt idx="54">
                  <c:v>141</c:v>
                </c:pt>
                <c:pt idx="55">
                  <c:v>144.11437648927716</c:v>
                </c:pt>
                <c:pt idx="56">
                  <c:v>117.47110808973487</c:v>
                </c:pt>
                <c:pt idx="57">
                  <c:v>165.24590163934425</c:v>
                </c:pt>
                <c:pt idx="58">
                  <c:v>155.79263711495116</c:v>
                </c:pt>
                <c:pt idx="59">
                  <c:v>156.2660443407234</c:v>
                </c:pt>
                <c:pt idx="60">
                  <c:v>181.1920529801325</c:v>
                </c:pt>
                <c:pt idx="61">
                  <c:v>209.18918918918916</c:v>
                </c:pt>
                <c:pt idx="62">
                  <c:v>233.77677564825248</c:v>
                </c:pt>
              </c:numCache>
            </c:numRef>
          </c:yVal>
        </c:ser>
        <c:ser>
          <c:idx val="2"/>
          <c:order val="2"/>
          <c:tx>
            <c:v>amonio influente etapa estabilización</c:v>
          </c:tx>
          <c:spPr>
            <a:ln w="28575">
              <a:noFill/>
            </a:ln>
          </c:spPr>
          <c:marker>
            <c:symbol val="square"/>
            <c:size val="7"/>
            <c:spPr>
              <a:ln>
                <a:noFill/>
              </a:ln>
            </c:spPr>
          </c:marker>
          <c:trendline>
            <c:trendlineType val="linear"/>
          </c:trendline>
          <c:xVal>
            <c:numRef>
              <c:f>Sheet1!$R$112:$R$126</c:f>
              <c:numCache>
                <c:formatCode>General</c:formatCode>
                <c:ptCount val="15"/>
                <c:pt idx="0">
                  <c:v>75</c:v>
                </c:pt>
                <c:pt idx="1">
                  <c:v>76</c:v>
                </c:pt>
                <c:pt idx="2">
                  <c:v>77</c:v>
                </c:pt>
                <c:pt idx="3">
                  <c:v>78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</c:numCache>
            </c:numRef>
          </c:xVal>
          <c:yVal>
            <c:numRef>
              <c:f>Sheet1!$X$112:$X$126</c:f>
              <c:numCache>
                <c:formatCode>0.0</c:formatCode>
                <c:ptCount val="15"/>
                <c:pt idx="0">
                  <c:v>231.06976744186042</c:v>
                </c:pt>
                <c:pt idx="1">
                  <c:v>221.002277904328</c:v>
                </c:pt>
                <c:pt idx="2">
                  <c:v>203.30357142857144</c:v>
                </c:pt>
                <c:pt idx="3">
                  <c:v>218.61982434127981</c:v>
                </c:pt>
                <c:pt idx="4">
                  <c:v>204.65116279069764</c:v>
                </c:pt>
                <c:pt idx="5">
                  <c:v>225.90986601705237</c:v>
                </c:pt>
                <c:pt idx="6">
                  <c:v>218.20235294117651</c:v>
                </c:pt>
                <c:pt idx="7">
                  <c:v>216.3512195121952</c:v>
                </c:pt>
                <c:pt idx="8">
                  <c:v>217.1076923076923</c:v>
                </c:pt>
                <c:pt idx="9">
                  <c:v>210.6</c:v>
                </c:pt>
                <c:pt idx="10">
                  <c:v>210.6</c:v>
                </c:pt>
                <c:pt idx="11">
                  <c:v>206.11084337349394</c:v>
                </c:pt>
                <c:pt idx="12">
                  <c:v>210.6</c:v>
                </c:pt>
                <c:pt idx="13">
                  <c:v>220.73806451612904</c:v>
                </c:pt>
                <c:pt idx="14">
                  <c:v>218.56864864864869</c:v>
                </c:pt>
              </c:numCache>
            </c:numRef>
          </c:yVal>
        </c:ser>
        <c:axId val="66844544"/>
        <c:axId val="66985984"/>
      </c:scatterChart>
      <c:valAx>
        <c:axId val="6684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6985984"/>
        <c:crosses val="autoZero"/>
        <c:crossBetween val="midCat"/>
        <c:majorUnit val="10"/>
      </c:valAx>
      <c:valAx>
        <c:axId val="66985984"/>
        <c:scaling>
          <c:orientation val="minMax"/>
          <c:max val="30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NH4+</a:t>
                </a:r>
                <a:r>
                  <a:rPr lang="en-US" baseline="0"/>
                  <a:t> mmol/día]</a:t>
                </a:r>
                <a:endParaRPr lang="en-US"/>
              </a:p>
            </c:rich>
          </c:tx>
        </c:title>
        <c:numFmt formatCode="0.00" sourceLinked="1"/>
        <c:majorTickMark val="none"/>
        <c:tickLblPos val="nextTo"/>
        <c:crossAx val="66844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101836815726048"/>
          <c:y val="0.44393592677345528"/>
          <c:w val="0.27305405188883081"/>
          <c:h val="0.21967963386727685"/>
        </c:manualLayout>
      </c:layout>
    </c:legend>
    <c:plotVisOnly val="1"/>
    <c:dispBlanksAs val="gap"/>
  </c:chart>
  <c:printSettings>
    <c:headerFooter/>
    <c:pageMargins b="0.75000000000000622" l="0.70000000000000062" r="0.70000000000000062" t="0.75000000000000622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Transformación del amonio por litro de reactor</a:t>
            </a:r>
          </a:p>
        </c:rich>
      </c:tx>
    </c:title>
    <c:plotArea>
      <c:layout>
        <c:manualLayout>
          <c:layoutTarget val="inner"/>
          <c:xMode val="edge"/>
          <c:yMode val="edge"/>
          <c:x val="9.9236764517688078E-2"/>
          <c:y val="0.10117647058823527"/>
          <c:w val="0.58142565877671093"/>
          <c:h val="0.76705882352941157"/>
        </c:manualLayout>
      </c:layout>
      <c:scatterChart>
        <c:scatterStyle val="smoothMarker"/>
        <c:ser>
          <c:idx val="0"/>
          <c:order val="0"/>
          <c:tx>
            <c:v>Ammonium comsumption in growing phase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2"/>
                </a:solidFill>
              </a:ln>
            </c:spPr>
            <c:trendlineType val="exp"/>
            <c:dispRSqr val="1"/>
            <c:dispEq val="1"/>
            <c:trendlineLbl>
              <c:layout>
                <c:manualLayout>
                  <c:x val="0.43562922595530856"/>
                  <c:y val="-0.2584369742837099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s-ES_tradnl"/>
                </a:p>
              </c:txPr>
            </c:trendlineLbl>
          </c:trendline>
          <c:xVal>
            <c:numRef>
              <c:f>Sheet1!$R$49:$R$111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34</c:v>
                </c:pt>
                <c:pt idx="29">
                  <c:v>35</c:v>
                </c:pt>
                <c:pt idx="30">
                  <c:v>36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  <c:pt idx="51">
                  <c:v>62</c:v>
                </c:pt>
                <c:pt idx="52">
                  <c:v>63</c:v>
                </c:pt>
                <c:pt idx="53">
                  <c:v>64</c:v>
                </c:pt>
                <c:pt idx="54">
                  <c:v>65</c:v>
                </c:pt>
                <c:pt idx="55">
                  <c:v>67</c:v>
                </c:pt>
                <c:pt idx="56">
                  <c:v>68</c:v>
                </c:pt>
                <c:pt idx="57">
                  <c:v>69</c:v>
                </c:pt>
                <c:pt idx="58">
                  <c:v>70</c:v>
                </c:pt>
                <c:pt idx="59">
                  <c:v>71</c:v>
                </c:pt>
                <c:pt idx="60">
                  <c:v>72</c:v>
                </c:pt>
                <c:pt idx="61">
                  <c:v>73</c:v>
                </c:pt>
                <c:pt idx="62">
                  <c:v>74</c:v>
                </c:pt>
              </c:numCache>
            </c:numRef>
          </c:xVal>
          <c:yVal>
            <c:numRef>
              <c:f>Sheet1!$AA$49:$AA$111</c:f>
              <c:numCache>
                <c:formatCode>0.00</c:formatCode>
                <c:ptCount val="63"/>
                <c:pt idx="0">
                  <c:v>0.37107506249999994</c:v>
                </c:pt>
                <c:pt idx="1">
                  <c:v>0.40850610198675502</c:v>
                </c:pt>
                <c:pt idx="2">
                  <c:v>0.18560270523985239</c:v>
                </c:pt>
                <c:pt idx="3">
                  <c:v>0.32788672566371674</c:v>
                </c:pt>
                <c:pt idx="4">
                  <c:v>0.39725271999999995</c:v>
                </c:pt>
                <c:pt idx="5">
                  <c:v>0.38748564867967861</c:v>
                </c:pt>
                <c:pt idx="6">
                  <c:v>0.59621814460511702</c:v>
                </c:pt>
                <c:pt idx="7">
                  <c:v>0.84016336725663698</c:v>
                </c:pt>
                <c:pt idx="8">
                  <c:v>0.55412349677419337</c:v>
                </c:pt>
                <c:pt idx="9">
                  <c:v>0.60916636062992124</c:v>
                </c:pt>
                <c:pt idx="10">
                  <c:v>0.43013681544028942</c:v>
                </c:pt>
                <c:pt idx="11">
                  <c:v>0.39358407079646013</c:v>
                </c:pt>
                <c:pt idx="12">
                  <c:v>0.37168141592920351</c:v>
                </c:pt>
                <c:pt idx="13">
                  <c:v>0.75811148086522473</c:v>
                </c:pt>
                <c:pt idx="14">
                  <c:v>0.59538233101552385</c:v>
                </c:pt>
                <c:pt idx="15">
                  <c:v>0.84808533123028385</c:v>
                </c:pt>
                <c:pt idx="16">
                  <c:v>0.79780426599749066</c:v>
                </c:pt>
                <c:pt idx="17">
                  <c:v>1.0752656249999999</c:v>
                </c:pt>
                <c:pt idx="18">
                  <c:v>2.1986181818181825</c:v>
                </c:pt>
                <c:pt idx="19">
                  <c:v>1.1391412911084045</c:v>
                </c:pt>
                <c:pt idx="20">
                  <c:v>0.81655434782608682</c:v>
                </c:pt>
                <c:pt idx="21">
                  <c:v>8.7566860465116289E-2</c:v>
                </c:pt>
                <c:pt idx="22">
                  <c:v>0.82144751381215464</c:v>
                </c:pt>
                <c:pt idx="23">
                  <c:v>0.64717321428571417</c:v>
                </c:pt>
                <c:pt idx="24">
                  <c:v>0.56808385714285714</c:v>
                </c:pt>
                <c:pt idx="25">
                  <c:v>0.4246344827586207</c:v>
                </c:pt>
                <c:pt idx="26">
                  <c:v>0.76550193548387102</c:v>
                </c:pt>
                <c:pt idx="27">
                  <c:v>0.63607329113924049</c:v>
                </c:pt>
                <c:pt idx="28">
                  <c:v>0.56639440677966113</c:v>
                </c:pt>
                <c:pt idx="29">
                  <c:v>1.308140766445383</c:v>
                </c:pt>
                <c:pt idx="30">
                  <c:v>0.5944642180094788</c:v>
                </c:pt>
                <c:pt idx="31">
                  <c:v>1.0368045150501672</c:v>
                </c:pt>
                <c:pt idx="32">
                  <c:v>1.5405279616724739</c:v>
                </c:pt>
                <c:pt idx="33">
                  <c:v>0.72768453488372076</c:v>
                </c:pt>
                <c:pt idx="34">
                  <c:v>1.1667534107142856</c:v>
                </c:pt>
                <c:pt idx="35">
                  <c:v>1.4424162895927601</c:v>
                </c:pt>
                <c:pt idx="36">
                  <c:v>1.5041415441176464</c:v>
                </c:pt>
                <c:pt idx="37">
                  <c:v>2.6337319822888281</c:v>
                </c:pt>
                <c:pt idx="38">
                  <c:v>2.4781690140845072</c:v>
                </c:pt>
                <c:pt idx="39">
                  <c:v>4.5839552238805954</c:v>
                </c:pt>
                <c:pt idx="40">
                  <c:v>4.0665158311345646</c:v>
                </c:pt>
                <c:pt idx="41">
                  <c:v>4.9501792582417572</c:v>
                </c:pt>
                <c:pt idx="42">
                  <c:v>4.3852466017052363</c:v>
                </c:pt>
                <c:pt idx="43">
                  <c:v>8.6598319637882994</c:v>
                </c:pt>
                <c:pt idx="44">
                  <c:v>10.590937499999999</c:v>
                </c:pt>
                <c:pt idx="45">
                  <c:v>15.571179389312976</c:v>
                </c:pt>
                <c:pt idx="46">
                  <c:v>19.528282084690552</c:v>
                </c:pt>
                <c:pt idx="47">
                  <c:v>24.607427142857141</c:v>
                </c:pt>
                <c:pt idx="48">
                  <c:v>39.042502554744523</c:v>
                </c:pt>
                <c:pt idx="49">
                  <c:v>34.272133526603007</c:v>
                </c:pt>
                <c:pt idx="50">
                  <c:v>32.286608027750248</c:v>
                </c:pt>
                <c:pt idx="51">
                  <c:v>37.250077545515836</c:v>
                </c:pt>
                <c:pt idx="52">
                  <c:v>32.8287185354691</c:v>
                </c:pt>
                <c:pt idx="53">
                  <c:v>37.434223965517241</c:v>
                </c:pt>
                <c:pt idx="54">
                  <c:v>38.128749999999997</c:v>
                </c:pt>
                <c:pt idx="55">
                  <c:v>39.338721207307373</c:v>
                </c:pt>
                <c:pt idx="56">
                  <c:v>34.67845003399048</c:v>
                </c:pt>
                <c:pt idx="57">
                  <c:v>49.332786885245895</c:v>
                </c:pt>
                <c:pt idx="58">
                  <c:v>44.693012772351615</c:v>
                </c:pt>
                <c:pt idx="59">
                  <c:v>45.040431738623084</c:v>
                </c:pt>
                <c:pt idx="60">
                  <c:v>51.111258278145705</c:v>
                </c:pt>
                <c:pt idx="61">
                  <c:v>58.398648648648646</c:v>
                </c:pt>
                <c:pt idx="62">
                  <c:v>65.993357384441921</c:v>
                </c:pt>
              </c:numCache>
            </c:numRef>
          </c:yVal>
          <c:smooth val="1"/>
        </c:ser>
        <c:ser>
          <c:idx val="1"/>
          <c:order val="1"/>
          <c:tx>
            <c:v>Ammonium compsumtion in stabilization phase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Sheet1!$R$112:$R$126</c:f>
              <c:numCache>
                <c:formatCode>General</c:formatCode>
                <c:ptCount val="15"/>
                <c:pt idx="0">
                  <c:v>75</c:v>
                </c:pt>
                <c:pt idx="1">
                  <c:v>76</c:v>
                </c:pt>
                <c:pt idx="2">
                  <c:v>77</c:v>
                </c:pt>
                <c:pt idx="3">
                  <c:v>78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</c:numCache>
            </c:numRef>
          </c:xVal>
          <c:yVal>
            <c:numRef>
              <c:f>Sheet1!$AB$112:$AB$126</c:f>
              <c:numCache>
                <c:formatCode>0.00</c:formatCode>
                <c:ptCount val="15"/>
                <c:pt idx="0">
                  <c:v>63.456499883720916</c:v>
                </c:pt>
                <c:pt idx="1">
                  <c:v>58.635533285876974</c:v>
                </c:pt>
                <c:pt idx="2">
                  <c:v>58.765035937500002</c:v>
                </c:pt>
                <c:pt idx="3">
                  <c:v>64.241845294855722</c:v>
                </c:pt>
                <c:pt idx="4">
                  <c:v>59.25830232558139</c:v>
                </c:pt>
                <c:pt idx="5">
                  <c:v>65.47741552984165</c:v>
                </c:pt>
                <c:pt idx="6">
                  <c:v>61.677866117647056</c:v>
                </c:pt>
                <c:pt idx="7">
                  <c:v>62.598786585365872</c:v>
                </c:pt>
                <c:pt idx="8">
                  <c:v>62.925005769230772</c:v>
                </c:pt>
                <c:pt idx="9">
                  <c:v>60.054271875000005</c:v>
                </c:pt>
                <c:pt idx="10">
                  <c:v>59.535328124999992</c:v>
                </c:pt>
                <c:pt idx="11">
                  <c:v>59.004119277108423</c:v>
                </c:pt>
                <c:pt idx="12">
                  <c:v>60.12727499999999</c:v>
                </c:pt>
                <c:pt idx="13">
                  <c:v>62.929509677419354</c:v>
                </c:pt>
                <c:pt idx="14">
                  <c:v>60.736344324324335</c:v>
                </c:pt>
              </c:numCache>
            </c:numRef>
          </c:yVal>
          <c:smooth val="1"/>
        </c:ser>
        <c:axId val="66852352"/>
        <c:axId val="66854272"/>
      </c:scatterChart>
      <c:valAx>
        <c:axId val="66852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(d)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6854272"/>
        <c:crosses val="autoZero"/>
        <c:crossBetween val="midCat"/>
        <c:majorUnit val="10"/>
      </c:valAx>
      <c:valAx>
        <c:axId val="668542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NH4+ mmol/l/día</a:t>
                </a:r>
              </a:p>
            </c:rich>
          </c:tx>
        </c:title>
        <c:numFmt formatCode="0.00" sourceLinked="1"/>
        <c:majorTickMark val="none"/>
        <c:tickLblPos val="nextTo"/>
        <c:crossAx val="66852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137494207088648"/>
          <c:y val="0.35764705882352932"/>
          <c:w val="0.24300284644715933"/>
          <c:h val="0.25882352941176467"/>
        </c:manualLayout>
      </c:layout>
    </c:legend>
    <c:plotVisOnly val="1"/>
    <c:dispBlanksAs val="gap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/>
              <a:t> Nitrito, influente y</a:t>
            </a:r>
            <a:r>
              <a:rPr lang="en-US" baseline="0"/>
              <a:t> enfluente al reactor en mmol totales</a:t>
            </a: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8.5676149488774736E-2"/>
          <c:y val="0.10268960914770345"/>
          <c:w val="0.73226334016187145"/>
          <c:h val="0.77750704068975462"/>
        </c:manualLayout>
      </c:layout>
      <c:scatterChart>
        <c:scatterStyle val="lineMarker"/>
        <c:ser>
          <c:idx val="0"/>
          <c:order val="0"/>
          <c:tx>
            <c:v>mmol saliente</c:v>
          </c:tx>
          <c:spPr>
            <a:ln w="28575">
              <a:noFill/>
            </a:ln>
          </c:spPr>
          <c:xVal>
            <c:numRef>
              <c:f>Sheet1!$BO$49:$BO$146</c:f>
              <c:numCache>
                <c:formatCode>General</c:formatCode>
                <c:ptCount val="9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  <c:pt idx="88">
                  <c:v>92</c:v>
                </c:pt>
                <c:pt idx="89">
                  <c:v>93</c:v>
                </c:pt>
                <c:pt idx="90">
                  <c:v>94</c:v>
                </c:pt>
                <c:pt idx="91">
                  <c:v>95</c:v>
                </c:pt>
                <c:pt idx="92">
                  <c:v>96</c:v>
                </c:pt>
                <c:pt idx="93">
                  <c:v>97</c:v>
                </c:pt>
                <c:pt idx="94">
                  <c:v>98</c:v>
                </c:pt>
                <c:pt idx="95">
                  <c:v>99</c:v>
                </c:pt>
                <c:pt idx="96">
                  <c:v>100</c:v>
                </c:pt>
                <c:pt idx="97">
                  <c:v>101</c:v>
                </c:pt>
              </c:numCache>
            </c:numRef>
          </c:xVal>
          <c:yVal>
            <c:numRef>
              <c:f>Sheet1!$BW$49:$BW$146</c:f>
              <c:numCache>
                <c:formatCode>0.0</c:formatCode>
                <c:ptCount val="9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4.039270687237026E-2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3.0000000000000001E-3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0.39125299684542586</c:v>
                </c:pt>
                <c:pt idx="18">
                  <c:v>4.2459222082810541E-2</c:v>
                </c:pt>
                <c:pt idx="19">
                  <c:v>0</c:v>
                </c:pt>
                <c:pt idx="20">
                  <c:v>0.22766798418972339</c:v>
                </c:pt>
                <c:pt idx="21">
                  <c:v>0.26690674151353072</c:v>
                </c:pt>
                <c:pt idx="22">
                  <c:v>0.38563327032136102</c:v>
                </c:pt>
                <c:pt idx="23">
                  <c:v>3.1813953488372096E-3</c:v>
                </c:pt>
                <c:pt idx="24">
                  <c:v>0</c:v>
                </c:pt>
                <c:pt idx="25">
                  <c:v>0.112707182320442</c:v>
                </c:pt>
                <c:pt idx="26">
                  <c:v>0.13664596273291924</c:v>
                </c:pt>
                <c:pt idx="27">
                  <c:v>6.4182857142857139E-2</c:v>
                </c:pt>
                <c:pt idx="28">
                  <c:v>1.4068965517241383E-2</c:v>
                </c:pt>
                <c:pt idx="29">
                  <c:v>3.5904628330995794E-2</c:v>
                </c:pt>
                <c:pt idx="30">
                  <c:v>1.471898734177215E-2</c:v>
                </c:pt>
                <c:pt idx="31">
                  <c:v>0</c:v>
                </c:pt>
                <c:pt idx="32">
                  <c:v>0</c:v>
                </c:pt>
                <c:pt idx="33">
                  <c:v>8.7582938388625631E-3</c:v>
                </c:pt>
                <c:pt idx="34">
                  <c:v>9.8669974899743246E-2</c:v>
                </c:pt>
                <c:pt idx="35">
                  <c:v>0</c:v>
                </c:pt>
                <c:pt idx="36">
                  <c:v>3.37192546583851E-2</c:v>
                </c:pt>
                <c:pt idx="37">
                  <c:v>0</c:v>
                </c:pt>
                <c:pt idx="38">
                  <c:v>0</c:v>
                </c:pt>
                <c:pt idx="39">
                  <c:v>9.5441860465116258E-3</c:v>
                </c:pt>
                <c:pt idx="40">
                  <c:v>2.4479999999999998E-2</c:v>
                </c:pt>
                <c:pt idx="41">
                  <c:v>6.5158371040723986E-2</c:v>
                </c:pt>
                <c:pt idx="42">
                  <c:v>1.694117647058823E-2</c:v>
                </c:pt>
                <c:pt idx="43">
                  <c:v>2.9820163487738419E-2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3.2028808981623677E-2</c:v>
                </c:pt>
                <c:pt idx="50">
                  <c:v>0</c:v>
                </c:pt>
                <c:pt idx="51">
                  <c:v>0</c:v>
                </c:pt>
                <c:pt idx="52">
                  <c:v>3.5908396946564884E-2</c:v>
                </c:pt>
                <c:pt idx="53">
                  <c:v>4.5368620037807172E-2</c:v>
                </c:pt>
                <c:pt idx="54">
                  <c:v>0</c:v>
                </c:pt>
                <c:pt idx="55">
                  <c:v>6.0819875776397511E-2</c:v>
                </c:pt>
                <c:pt idx="56">
                  <c:v>0.47984766740717238</c:v>
                </c:pt>
                <c:pt idx="57">
                  <c:v>0.43774838365264845</c:v>
                </c:pt>
                <c:pt idx="58">
                  <c:v>0.17304261645193261</c:v>
                </c:pt>
                <c:pt idx="59">
                  <c:v>2.1023223196223868</c:v>
                </c:pt>
                <c:pt idx="60">
                  <c:v>0.18645308924485121</c:v>
                </c:pt>
                <c:pt idx="61">
                  <c:v>0.2840275862068965</c:v>
                </c:pt>
                <c:pt idx="62">
                  <c:v>0.26319999999999999</c:v>
                </c:pt>
                <c:pt idx="63">
                  <c:v>0.2281810961080222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0.10267549668874174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0.40523294117647068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1.4742000000000002</c:v>
                </c:pt>
                <c:pt idx="83">
                  <c:v>0</c:v>
                </c:pt>
                <c:pt idx="84">
                  <c:v>3.0537000000000001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4.1596638655462183E-2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</c:numCache>
            </c:numRef>
          </c:yVal>
        </c:ser>
        <c:ser>
          <c:idx val="1"/>
          <c:order val="1"/>
          <c:tx>
            <c:v>mmol entrantes</c:v>
          </c:tx>
          <c:spPr>
            <a:ln w="28575">
              <a:noFill/>
            </a:ln>
          </c:spPr>
          <c:xVal>
            <c:numRef>
              <c:f>Sheet1!$BO$49:$BO$146</c:f>
              <c:numCache>
                <c:formatCode>General</c:formatCode>
                <c:ptCount val="9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  <c:pt idx="88">
                  <c:v>92</c:v>
                </c:pt>
                <c:pt idx="89">
                  <c:v>93</c:v>
                </c:pt>
                <c:pt idx="90">
                  <c:v>94</c:v>
                </c:pt>
                <c:pt idx="91">
                  <c:v>95</c:v>
                </c:pt>
                <c:pt idx="92">
                  <c:v>96</c:v>
                </c:pt>
                <c:pt idx="93">
                  <c:v>97</c:v>
                </c:pt>
                <c:pt idx="94">
                  <c:v>98</c:v>
                </c:pt>
                <c:pt idx="95">
                  <c:v>99</c:v>
                </c:pt>
                <c:pt idx="96">
                  <c:v>100</c:v>
                </c:pt>
                <c:pt idx="97">
                  <c:v>101</c:v>
                </c:pt>
              </c:numCache>
            </c:numRef>
          </c:xVal>
          <c:yVal>
            <c:numRef>
              <c:f>Sheet1!$BV$49:$BV$146</c:f>
              <c:numCache>
                <c:formatCode>0.0</c:formatCode>
                <c:ptCount val="98"/>
                <c:pt idx="0" formatCode="0.00">
                  <c:v>1.3350993377483444</c:v>
                </c:pt>
                <c:pt idx="1">
                  <c:v>0.59512915129151289</c:v>
                </c:pt>
                <c:pt idx="2">
                  <c:v>1.0534513274336281</c:v>
                </c:pt>
                <c:pt idx="3">
                  <c:v>1.28</c:v>
                </c:pt>
                <c:pt idx="4">
                  <c:v>1.1538461538461537</c:v>
                </c:pt>
                <c:pt idx="5">
                  <c:v>1.2399540757749716</c:v>
                </c:pt>
                <c:pt idx="6">
                  <c:v>1.9221357063403788</c:v>
                </c:pt>
                <c:pt idx="7">
                  <c:v>2.7610619469026547</c:v>
                </c:pt>
                <c:pt idx="8">
                  <c:v>1.8580645161290319</c:v>
                </c:pt>
                <c:pt idx="9">
                  <c:v>2.1543307086614174</c:v>
                </c:pt>
                <c:pt idx="10">
                  <c:v>1.3896260554885402</c:v>
                </c:pt>
                <c:pt idx="11">
                  <c:v>1.2743362831858407</c:v>
                </c:pt>
                <c:pt idx="12">
                  <c:v>1.8</c:v>
                </c:pt>
                <c:pt idx="13">
                  <c:v>2.6955074875207994</c:v>
                </c:pt>
                <c:pt idx="14">
                  <c:v>3.037974683544304</c:v>
                </c:pt>
                <c:pt idx="15">
                  <c:v>3.2099071207430332</c:v>
                </c:pt>
                <c:pt idx="16">
                  <c:v>2.724450194049159</c:v>
                </c:pt>
                <c:pt idx="17">
                  <c:v>3.556845425867508</c:v>
                </c:pt>
                <c:pt idx="18">
                  <c:v>2.7101631116687575</c:v>
                </c:pt>
                <c:pt idx="19">
                  <c:v>4.2</c:v>
                </c:pt>
                <c:pt idx="20">
                  <c:v>8.3781818181818206</c:v>
                </c:pt>
                <c:pt idx="21">
                  <c:v>4.9110840438489651</c:v>
                </c:pt>
                <c:pt idx="22">
                  <c:v>3.5478260869565212</c:v>
                </c:pt>
                <c:pt idx="23">
                  <c:v>0.33488372093023261</c:v>
                </c:pt>
                <c:pt idx="24">
                  <c:v>1.3612424037812287</c:v>
                </c:pt>
                <c:pt idx="25">
                  <c:v>3.0055248618784529</c:v>
                </c:pt>
                <c:pt idx="26">
                  <c:v>2.5142857142857138</c:v>
                </c:pt>
                <c:pt idx="27">
                  <c:v>2.4685714285714284</c:v>
                </c:pt>
                <c:pt idx="28">
                  <c:v>1.6551724137931036</c:v>
                </c:pt>
                <c:pt idx="29">
                  <c:v>3.3032258064516129</c:v>
                </c:pt>
                <c:pt idx="30">
                  <c:v>3.0987341772151895</c:v>
                </c:pt>
                <c:pt idx="31">
                  <c:v>1.9525423728813562</c:v>
                </c:pt>
                <c:pt idx="32">
                  <c:v>5.909474954737477</c:v>
                </c:pt>
                <c:pt idx="33">
                  <c:v>3.1848341232227497</c:v>
                </c:pt>
                <c:pt idx="34">
                  <c:v>3.6310550763105511</c:v>
                </c:pt>
                <c:pt idx="35">
                  <c:v>5.665573770491803</c:v>
                </c:pt>
                <c:pt idx="36">
                  <c:v>4.650931677018634</c:v>
                </c:pt>
                <c:pt idx="37">
                  <c:v>5.7792642140468224</c:v>
                </c:pt>
                <c:pt idx="38">
                  <c:v>6.6229965156794428</c:v>
                </c:pt>
                <c:pt idx="39">
                  <c:v>3.0139534883720924</c:v>
                </c:pt>
                <c:pt idx="40">
                  <c:v>8.742857142857142</c:v>
                </c:pt>
                <c:pt idx="41">
                  <c:v>10.859728506787331</c:v>
                </c:pt>
                <c:pt idx="42">
                  <c:v>10.588235294117643</c:v>
                </c:pt>
                <c:pt idx="43">
                  <c:v>18.637602179836509</c:v>
                </c:pt>
                <c:pt idx="44">
                  <c:v>17.239436619718312</c:v>
                </c:pt>
                <c:pt idx="45">
                  <c:v>16.119402985074622</c:v>
                </c:pt>
                <c:pt idx="46">
                  <c:v>27.95640326975477</c:v>
                </c:pt>
                <c:pt idx="47">
                  <c:v>17.802197802197799</c:v>
                </c:pt>
                <c:pt idx="48">
                  <c:v>22.202643171806169</c:v>
                </c:pt>
                <c:pt idx="49">
                  <c:v>14.733252131546891</c:v>
                </c:pt>
                <c:pt idx="50">
                  <c:v>29.682451253481894</c:v>
                </c:pt>
                <c:pt idx="51">
                  <c:v>44.405286343612339</c:v>
                </c:pt>
                <c:pt idx="52">
                  <c:v>51.297709923664122</c:v>
                </c:pt>
                <c:pt idx="53">
                  <c:v>41.739130434782602</c:v>
                </c:pt>
                <c:pt idx="54">
                  <c:v>101.31596091205212</c:v>
                </c:pt>
                <c:pt idx="55">
                  <c:v>83.931428571428569</c:v>
                </c:pt>
                <c:pt idx="56">
                  <c:v>132.43795620437956</c:v>
                </c:pt>
                <c:pt idx="57">
                  <c:v>120.81855388813098</c:v>
                </c:pt>
                <c:pt idx="58">
                  <c:v>107.0366699702676</c:v>
                </c:pt>
                <c:pt idx="59">
                  <c:v>122.34659474039108</c:v>
                </c:pt>
                <c:pt idx="60">
                  <c:v>115.33180778032035</c:v>
                </c:pt>
                <c:pt idx="61">
                  <c:v>129.10344827586206</c:v>
                </c:pt>
                <c:pt idx="62">
                  <c:v>141</c:v>
                </c:pt>
                <c:pt idx="63">
                  <c:v>144.11437648927716</c:v>
                </c:pt>
                <c:pt idx="64">
                  <c:v>117.47110808973487</c:v>
                </c:pt>
                <c:pt idx="65">
                  <c:v>165.24590163934425</c:v>
                </c:pt>
                <c:pt idx="66">
                  <c:v>155.79263711495116</c:v>
                </c:pt>
                <c:pt idx="67">
                  <c:v>156.2660443407234</c:v>
                </c:pt>
                <c:pt idx="68">
                  <c:v>181.1920529801325</c:v>
                </c:pt>
                <c:pt idx="69">
                  <c:v>209.18918918918916</c:v>
                </c:pt>
                <c:pt idx="70">
                  <c:v>233.77677564825248</c:v>
                </c:pt>
                <c:pt idx="71">
                  <c:v>231.06976744186042</c:v>
                </c:pt>
                <c:pt idx="72">
                  <c:v>241.09339407744872</c:v>
                </c:pt>
                <c:pt idx="73">
                  <c:v>221.78571428571428</c:v>
                </c:pt>
                <c:pt idx="74">
                  <c:v>238.4943538268507</c:v>
                </c:pt>
                <c:pt idx="75">
                  <c:v>231.1337579617834</c:v>
                </c:pt>
                <c:pt idx="76">
                  <c:v>223.25581395348837</c:v>
                </c:pt>
                <c:pt idx="77">
                  <c:v>242.0462850182704</c:v>
                </c:pt>
                <c:pt idx="78">
                  <c:v>233.78823529411767</c:v>
                </c:pt>
                <c:pt idx="79">
                  <c:v>231.80487804878058</c:v>
                </c:pt>
                <c:pt idx="80">
                  <c:v>232.61538461538461</c:v>
                </c:pt>
                <c:pt idx="81">
                  <c:v>234</c:v>
                </c:pt>
                <c:pt idx="82">
                  <c:v>234</c:v>
                </c:pt>
                <c:pt idx="83">
                  <c:v>229.01204819277103</c:v>
                </c:pt>
                <c:pt idx="84">
                  <c:v>234</c:v>
                </c:pt>
                <c:pt idx="85">
                  <c:v>245.26451612903227</c:v>
                </c:pt>
                <c:pt idx="86">
                  <c:v>242.8540540540541</c:v>
                </c:pt>
                <c:pt idx="87">
                  <c:v>231.63538873994634</c:v>
                </c:pt>
                <c:pt idx="88">
                  <c:v>226.890756302521</c:v>
                </c:pt>
                <c:pt idx="89">
                  <c:v>228.6218302094818</c:v>
                </c:pt>
                <c:pt idx="90">
                  <c:v>226.37554585152836</c:v>
                </c:pt>
                <c:pt idx="91">
                  <c:v>230.913140311804</c:v>
                </c:pt>
                <c:pt idx="92">
                  <c:v>209.39936775553218</c:v>
                </c:pt>
                <c:pt idx="93">
                  <c:v>208.19277108433732</c:v>
                </c:pt>
                <c:pt idx="94">
                  <c:v>213.77319587628867</c:v>
                </c:pt>
                <c:pt idx="95">
                  <c:v>219.81308411214957</c:v>
                </c:pt>
                <c:pt idx="96">
                  <c:v>228.84324324324319</c:v>
                </c:pt>
                <c:pt idx="97">
                  <c:v>233.26133909287256</c:v>
                </c:pt>
              </c:numCache>
            </c:numRef>
          </c:yVal>
        </c:ser>
        <c:axId val="66887680"/>
        <c:axId val="66889984"/>
      </c:scatterChart>
      <c:valAx>
        <c:axId val="66887680"/>
        <c:scaling>
          <c:orientation val="minMax"/>
          <c:max val="1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Tiempo</a:t>
                </a:r>
                <a:r>
                  <a:rPr lang="en-US" baseline="0"/>
                  <a:t> (días)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6889984"/>
        <c:crosses val="autoZero"/>
        <c:crossBetween val="midCat"/>
        <c:majorUnit val="10"/>
      </c:valAx>
      <c:valAx>
        <c:axId val="668899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NO2- mmol/día</a:t>
                </a:r>
                <a:endParaRPr lang="en-US"/>
              </a:p>
            </c:rich>
          </c:tx>
        </c:title>
        <c:numFmt formatCode="0.0" sourceLinked="1"/>
        <c:majorTickMark val="none"/>
        <c:tickLblPos val="nextTo"/>
        <c:crossAx val="668876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345494406655798"/>
          <c:y val="0.51344804573851721"/>
          <c:w val="0.11646601571130315"/>
          <c:h val="9.2909646371731686E-2"/>
        </c:manualLayout>
      </c:layout>
    </c:legend>
    <c:plotVisOnly val="1"/>
    <c:dispBlanksAs val="gap"/>
  </c:chart>
  <c:printSettings>
    <c:headerFooter/>
    <c:pageMargins b="0.75000000000000644" l="0.70000000000000062" r="0.70000000000000062" t="0.75000000000000644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autoTitleDeleted val="1"/>
    <c:plotArea>
      <c:layout>
        <c:manualLayout>
          <c:layoutTarget val="inner"/>
          <c:xMode val="edge"/>
          <c:yMode val="edge"/>
          <c:x val="9.2068052344339485E-2"/>
          <c:y val="0.11778846153846152"/>
          <c:w val="0.77620450284150821"/>
          <c:h val="0.76923076923076905"/>
        </c:manualLayout>
      </c:layout>
      <c:scatterChart>
        <c:scatterStyle val="lineMarker"/>
        <c:ser>
          <c:idx val="0"/>
          <c:order val="0"/>
          <c:tx>
            <c:v>Nitrite mmol/lt/day</c:v>
          </c:tx>
          <c:spPr>
            <a:ln w="28575">
              <a:noFill/>
            </a:ln>
          </c:spPr>
          <c:xVal>
            <c:numRef>
              <c:f>Sheet1!$BO$50:$BO$146</c:f>
              <c:numCache>
                <c:formatCode>General</c:formatCode>
                <c:ptCount val="9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41</c:v>
                </c:pt>
                <c:pt idx="38">
                  <c:v>42</c:v>
                </c:pt>
                <c:pt idx="39">
                  <c:v>43</c:v>
                </c:pt>
                <c:pt idx="40">
                  <c:v>44</c:v>
                </c:pt>
                <c:pt idx="41">
                  <c:v>45</c:v>
                </c:pt>
                <c:pt idx="42">
                  <c:v>46</c:v>
                </c:pt>
                <c:pt idx="43">
                  <c:v>47</c:v>
                </c:pt>
                <c:pt idx="44">
                  <c:v>48</c:v>
                </c:pt>
                <c:pt idx="45">
                  <c:v>49</c:v>
                </c:pt>
                <c:pt idx="46">
                  <c:v>50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54</c:v>
                </c:pt>
                <c:pt idx="51">
                  <c:v>55</c:v>
                </c:pt>
                <c:pt idx="52">
                  <c:v>56</c:v>
                </c:pt>
                <c:pt idx="53">
                  <c:v>57</c:v>
                </c:pt>
                <c:pt idx="54">
                  <c:v>58</c:v>
                </c:pt>
                <c:pt idx="55">
                  <c:v>59</c:v>
                </c:pt>
                <c:pt idx="56">
                  <c:v>60</c:v>
                </c:pt>
                <c:pt idx="57">
                  <c:v>61</c:v>
                </c:pt>
                <c:pt idx="58">
                  <c:v>62</c:v>
                </c:pt>
                <c:pt idx="59">
                  <c:v>63</c:v>
                </c:pt>
                <c:pt idx="60">
                  <c:v>64</c:v>
                </c:pt>
                <c:pt idx="61">
                  <c:v>65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</c:numCache>
            </c:numRef>
          </c:xVal>
          <c:yVal>
            <c:numRef>
              <c:f>Sheet1!$BY$49:$BY$146</c:f>
              <c:numCache>
                <c:formatCode>0.00</c:formatCode>
                <c:ptCount val="98"/>
                <c:pt idx="0">
                  <c:v>0.41721854304635764</c:v>
                </c:pt>
                <c:pt idx="1">
                  <c:v>0.18597785977859776</c:v>
                </c:pt>
                <c:pt idx="2">
                  <c:v>0.32920353982300876</c:v>
                </c:pt>
                <c:pt idx="3">
                  <c:v>0.39999999999999997</c:v>
                </c:pt>
                <c:pt idx="4">
                  <c:v>0.36057692307692302</c:v>
                </c:pt>
                <c:pt idx="5">
                  <c:v>0.38748564867967861</c:v>
                </c:pt>
                <c:pt idx="6">
                  <c:v>0.60066740823136833</c:v>
                </c:pt>
                <c:pt idx="7">
                  <c:v>0.86283185840707954</c:v>
                </c:pt>
                <c:pt idx="8">
                  <c:v>0.56802244039270677</c:v>
                </c:pt>
                <c:pt idx="9">
                  <c:v>0.67322834645669294</c:v>
                </c:pt>
                <c:pt idx="10">
                  <c:v>0.4342581423401688</c:v>
                </c:pt>
                <c:pt idx="11">
                  <c:v>0.39823008849557517</c:v>
                </c:pt>
                <c:pt idx="12">
                  <c:v>0.56156249999999996</c:v>
                </c:pt>
                <c:pt idx="13">
                  <c:v>0.84234608985024972</c:v>
                </c:pt>
                <c:pt idx="14">
                  <c:v>0.949367088607595</c:v>
                </c:pt>
                <c:pt idx="15">
                  <c:v>1.0030959752321977</c:v>
                </c:pt>
                <c:pt idx="16">
                  <c:v>0.85139068564036213</c:v>
                </c:pt>
                <c:pt idx="17">
                  <c:v>0.98924763406940064</c:v>
                </c:pt>
                <c:pt idx="18">
                  <c:v>0.83365746549560837</c:v>
                </c:pt>
                <c:pt idx="19">
                  <c:v>1.3125</c:v>
                </c:pt>
                <c:pt idx="20">
                  <c:v>2.54703557312253</c:v>
                </c:pt>
                <c:pt idx="21">
                  <c:v>1.451305406979823</c:v>
                </c:pt>
                <c:pt idx="22">
                  <c:v>0.98818525519848743</c:v>
                </c:pt>
                <c:pt idx="23">
                  <c:v>0.10365697674418606</c:v>
                </c:pt>
                <c:pt idx="24">
                  <c:v>0.42538825118163398</c:v>
                </c:pt>
                <c:pt idx="25">
                  <c:v>0.90400552486187835</c:v>
                </c:pt>
                <c:pt idx="26">
                  <c:v>0.74301242236024823</c:v>
                </c:pt>
                <c:pt idx="27">
                  <c:v>0.75137142857142847</c:v>
                </c:pt>
                <c:pt idx="28">
                  <c:v>0.51284482758620686</c:v>
                </c:pt>
                <c:pt idx="29">
                  <c:v>1.0210378681626928</c:v>
                </c:pt>
                <c:pt idx="30">
                  <c:v>0.96375474683544293</c:v>
                </c:pt>
                <c:pt idx="31">
                  <c:v>0.61016949152542377</c:v>
                </c:pt>
                <c:pt idx="32">
                  <c:v>1.8467109233554615</c:v>
                </c:pt>
                <c:pt idx="33">
                  <c:v>0.99252369668246476</c:v>
                </c:pt>
                <c:pt idx="34">
                  <c:v>1.1038703441908775</c:v>
                </c:pt>
                <c:pt idx="35">
                  <c:v>1.7704918032786883</c:v>
                </c:pt>
                <c:pt idx="36">
                  <c:v>1.4428788819875775</c:v>
                </c:pt>
                <c:pt idx="37">
                  <c:v>1.806020066889632</c:v>
                </c:pt>
                <c:pt idx="38">
                  <c:v>2.0696864111498257</c:v>
                </c:pt>
                <c:pt idx="39">
                  <c:v>0.938877906976744</c:v>
                </c:pt>
                <c:pt idx="40">
                  <c:v>2.7244928571428564</c:v>
                </c:pt>
                <c:pt idx="41">
                  <c:v>3.3733031674208145</c:v>
                </c:pt>
                <c:pt idx="42">
                  <c:v>3.3035294117647043</c:v>
                </c:pt>
                <c:pt idx="43">
                  <c:v>5.8149318801089906</c:v>
                </c:pt>
                <c:pt idx="44">
                  <c:v>5.387323943661972</c:v>
                </c:pt>
                <c:pt idx="45">
                  <c:v>5.0373134328358189</c:v>
                </c:pt>
                <c:pt idx="46">
                  <c:v>8.7363760217983657</c:v>
                </c:pt>
                <c:pt idx="47">
                  <c:v>5.5631868131868121</c:v>
                </c:pt>
                <c:pt idx="48">
                  <c:v>6.9383259911894273</c:v>
                </c:pt>
                <c:pt idx="49">
                  <c:v>4.5941322883016458</c:v>
                </c:pt>
                <c:pt idx="50">
                  <c:v>9.2757660167130904</c:v>
                </c:pt>
                <c:pt idx="51">
                  <c:v>13.876651982378855</c:v>
                </c:pt>
                <c:pt idx="52">
                  <c:v>16.019312977099236</c:v>
                </c:pt>
                <c:pt idx="53">
                  <c:v>13.029300567107748</c:v>
                </c:pt>
                <c:pt idx="54">
                  <c:v>31.661237785016286</c:v>
                </c:pt>
                <c:pt idx="55">
                  <c:v>26.209565217391301</c:v>
                </c:pt>
                <c:pt idx="56">
                  <c:v>41.236908917803866</c:v>
                </c:pt>
                <c:pt idx="57">
                  <c:v>37.619001720149477</c:v>
                </c:pt>
                <c:pt idx="58">
                  <c:v>33.394883548067391</c:v>
                </c:pt>
                <c:pt idx="59">
                  <c:v>37.576335131490218</c:v>
                </c:pt>
                <c:pt idx="60">
                  <c:v>35.982923340961094</c:v>
                </c:pt>
                <c:pt idx="61">
                  <c:v>40.256068965517237</c:v>
                </c:pt>
                <c:pt idx="62">
                  <c:v>43.980249999999991</c:v>
                </c:pt>
                <c:pt idx="63">
                  <c:v>44.964436060365358</c:v>
                </c:pt>
                <c:pt idx="64">
                  <c:v>36.709721278042146</c:v>
                </c:pt>
                <c:pt idx="65">
                  <c:v>51.639344262295076</c:v>
                </c:pt>
                <c:pt idx="66">
                  <c:v>48.685199098422238</c:v>
                </c:pt>
                <c:pt idx="67">
                  <c:v>48.833138856476062</c:v>
                </c:pt>
                <c:pt idx="68">
                  <c:v>56.590430463576176</c:v>
                </c:pt>
                <c:pt idx="69">
                  <c:v>65.371621621621614</c:v>
                </c:pt>
                <c:pt idx="70">
                  <c:v>73.055242390078902</c:v>
                </c:pt>
                <c:pt idx="71">
                  <c:v>72.209302325581376</c:v>
                </c:pt>
                <c:pt idx="72">
                  <c:v>75.341685649202716</c:v>
                </c:pt>
                <c:pt idx="73">
                  <c:v>69.308035714285708</c:v>
                </c:pt>
                <c:pt idx="74">
                  <c:v>74.529485570890841</c:v>
                </c:pt>
                <c:pt idx="75">
                  <c:v>72.229299363057308</c:v>
                </c:pt>
                <c:pt idx="76">
                  <c:v>69.767441860465112</c:v>
                </c:pt>
                <c:pt idx="77">
                  <c:v>75.639464068209492</c:v>
                </c:pt>
                <c:pt idx="78">
                  <c:v>72.93218823529412</c:v>
                </c:pt>
                <c:pt idx="79">
                  <c:v>72.439024390243929</c:v>
                </c:pt>
                <c:pt idx="80">
                  <c:v>72.692307692307693</c:v>
                </c:pt>
                <c:pt idx="81">
                  <c:v>73.125</c:v>
                </c:pt>
                <c:pt idx="82">
                  <c:v>72.664312499999994</c:v>
                </c:pt>
                <c:pt idx="83">
                  <c:v>71.566265060240937</c:v>
                </c:pt>
                <c:pt idx="84">
                  <c:v>72.170718749999992</c:v>
                </c:pt>
                <c:pt idx="85">
                  <c:v>76.645161290322577</c:v>
                </c:pt>
                <c:pt idx="86">
                  <c:v>75.891891891891902</c:v>
                </c:pt>
                <c:pt idx="87">
                  <c:v>72.386058981233219</c:v>
                </c:pt>
                <c:pt idx="88">
                  <c:v>70.890362394957975</c:v>
                </c:pt>
                <c:pt idx="89">
                  <c:v>71.444321940463055</c:v>
                </c:pt>
                <c:pt idx="90">
                  <c:v>70.742358078602606</c:v>
                </c:pt>
                <c:pt idx="91">
                  <c:v>72.16035634743875</c:v>
                </c:pt>
                <c:pt idx="92">
                  <c:v>65.437302423603796</c:v>
                </c:pt>
                <c:pt idx="93">
                  <c:v>65.060240963855406</c:v>
                </c:pt>
                <c:pt idx="94">
                  <c:v>66.80412371134021</c:v>
                </c:pt>
                <c:pt idx="95">
                  <c:v>68.691588785046733</c:v>
                </c:pt>
                <c:pt idx="96">
                  <c:v>71.513513513513487</c:v>
                </c:pt>
                <c:pt idx="97">
                  <c:v>72.894168466522672</c:v>
                </c:pt>
              </c:numCache>
            </c:numRef>
          </c:yVal>
        </c:ser>
        <c:axId val="67307392"/>
        <c:axId val="67314048"/>
      </c:scatterChart>
      <c:valAx>
        <c:axId val="67307392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(day)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314048"/>
        <c:crosses val="autoZero"/>
        <c:crossBetween val="midCat"/>
        <c:majorUnit val="10"/>
      </c:valAx>
      <c:valAx>
        <c:axId val="673140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NO2- mmol/día</a:t>
                </a:r>
              </a:p>
            </c:rich>
          </c:tx>
        </c:title>
        <c:numFmt formatCode="0.00" sourceLinked="1"/>
        <c:majorTickMark val="none"/>
        <c:tickLblPos val="nextTo"/>
        <c:crossAx val="67307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175669329622576"/>
          <c:y val="4.8076923076923066E-2"/>
          <c:w val="0.19546755728490534"/>
          <c:h val="4.3269230769230761E-2"/>
        </c:manualLayout>
      </c:layout>
    </c:legend>
    <c:plotVisOnly val="1"/>
    <c:dispBlanksAs val="gap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/>
              <a:t>NitrAte Acumulation in the reactor [µM]</a:t>
            </a:r>
          </a:p>
        </c:rich>
      </c:tx>
      <c:layout>
        <c:manualLayout>
          <c:xMode val="edge"/>
          <c:yMode val="edge"/>
          <c:x val="5.0627092272148609E-4"/>
          <c:y val="0"/>
        </c:manualLayout>
      </c:layout>
    </c:title>
    <c:plotArea>
      <c:layout>
        <c:manualLayout>
          <c:layoutTarget val="inner"/>
          <c:xMode val="edge"/>
          <c:yMode val="edge"/>
          <c:x val="0.11708253358925143"/>
          <c:y val="0.10047858627227201"/>
          <c:w val="0.6775431861804222"/>
          <c:h val="0.78468991184060055"/>
        </c:manualLayout>
      </c:layout>
      <c:scatterChart>
        <c:scatterStyle val="smoothMarker"/>
        <c:ser>
          <c:idx val="0"/>
          <c:order val="0"/>
          <c:xVal>
            <c:numRef>
              <c:f>Sheet1!$CW$50:$CW$96</c:f>
              <c:numCache>
                <c:formatCode>General</c:formatCode>
                <c:ptCount val="47"/>
                <c:pt idx="0">
                  <c:v>3</c:v>
                </c:pt>
                <c:pt idx="1">
                  <c:v>4</c:v>
                </c:pt>
                <c:pt idx="2">
                  <c:v>11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24</c:v>
                </c:pt>
                <c:pt idx="10">
                  <c:v>25</c:v>
                </c:pt>
                <c:pt idx="11">
                  <c:v>27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67</c:v>
                </c:pt>
                <c:pt idx="20">
                  <c:v>69</c:v>
                </c:pt>
                <c:pt idx="21">
                  <c:v>71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79</c:v>
                </c:pt>
                <c:pt idx="28">
                  <c:v>80</c:v>
                </c:pt>
                <c:pt idx="29">
                  <c:v>81</c:v>
                </c:pt>
                <c:pt idx="30">
                  <c:v>82</c:v>
                </c:pt>
                <c:pt idx="31">
                  <c:v>83</c:v>
                </c:pt>
                <c:pt idx="32">
                  <c:v>84</c:v>
                </c:pt>
                <c:pt idx="33">
                  <c:v>86</c:v>
                </c:pt>
                <c:pt idx="34">
                  <c:v>87</c:v>
                </c:pt>
                <c:pt idx="35">
                  <c:v>90</c:v>
                </c:pt>
                <c:pt idx="36">
                  <c:v>92</c:v>
                </c:pt>
                <c:pt idx="37">
                  <c:v>93</c:v>
                </c:pt>
                <c:pt idx="38">
                  <c:v>95</c:v>
                </c:pt>
                <c:pt idx="39">
                  <c:v>102</c:v>
                </c:pt>
                <c:pt idx="40">
                  <c:v>104</c:v>
                </c:pt>
                <c:pt idx="41">
                  <c:v>106</c:v>
                </c:pt>
                <c:pt idx="42">
                  <c:v>108</c:v>
                </c:pt>
                <c:pt idx="43">
                  <c:v>111</c:v>
                </c:pt>
                <c:pt idx="44">
                  <c:v>112</c:v>
                </c:pt>
                <c:pt idx="45">
                  <c:v>115</c:v>
                </c:pt>
                <c:pt idx="46">
                  <c:v>117</c:v>
                </c:pt>
              </c:numCache>
            </c:numRef>
          </c:xVal>
          <c:yVal>
            <c:numRef>
              <c:f>Sheet1!$CU$50:$CU$96</c:f>
              <c:numCache>
                <c:formatCode>0</c:formatCode>
                <c:ptCount val="47"/>
                <c:pt idx="0">
                  <c:v>2.3895299539170498</c:v>
                </c:pt>
                <c:pt idx="1">
                  <c:v>52.195244239631336</c:v>
                </c:pt>
                <c:pt idx="2">
                  <c:v>2.3895299539170498</c:v>
                </c:pt>
                <c:pt idx="3">
                  <c:v>19.09854377880184</c:v>
                </c:pt>
                <c:pt idx="4">
                  <c:v>9.1374009216589851</c:v>
                </c:pt>
                <c:pt idx="5">
                  <c:v>42.876755760368667</c:v>
                </c:pt>
                <c:pt idx="6">
                  <c:v>19.09854377880184</c:v>
                </c:pt>
                <c:pt idx="7">
                  <c:v>0.46156682027649887</c:v>
                </c:pt>
                <c:pt idx="8">
                  <c:v>24.882433179723506</c:v>
                </c:pt>
                <c:pt idx="9">
                  <c:v>19.711967741935482</c:v>
                </c:pt>
                <c:pt idx="10">
                  <c:v>9.5198709677419373</c:v>
                </c:pt>
                <c:pt idx="11">
                  <c:v>5.8140627322729284</c:v>
                </c:pt>
                <c:pt idx="12">
                  <c:v>1.4087706258361781</c:v>
                </c:pt>
                <c:pt idx="13">
                  <c:v>7.1097368812249142</c:v>
                </c:pt>
                <c:pt idx="14">
                  <c:v>31.209276051731823</c:v>
                </c:pt>
                <c:pt idx="15">
                  <c:v>60.232376988256277</c:v>
                </c:pt>
                <c:pt idx="16">
                  <c:v>37.946781626282153</c:v>
                </c:pt>
                <c:pt idx="17">
                  <c:v>39.242455775234134</c:v>
                </c:pt>
                <c:pt idx="18">
                  <c:v>14.365512115356028</c:v>
                </c:pt>
                <c:pt idx="19">
                  <c:v>2770.293387096774</c:v>
                </c:pt>
                <c:pt idx="20">
                  <c:v>1090.3976612903225</c:v>
                </c:pt>
                <c:pt idx="21">
                  <c:v>2912.3380645161296</c:v>
                </c:pt>
                <c:pt idx="22">
                  <c:v>1165.7683064516127</c:v>
                </c:pt>
                <c:pt idx="23">
                  <c:v>2236.9011290322583</c:v>
                </c:pt>
                <c:pt idx="24">
                  <c:v>2584.7656451612897</c:v>
                </c:pt>
                <c:pt idx="25">
                  <c:v>1490.4418548387096</c:v>
                </c:pt>
                <c:pt idx="26">
                  <c:v>1633.9359677419352</c:v>
                </c:pt>
                <c:pt idx="27">
                  <c:v>2922.4841129032252</c:v>
                </c:pt>
                <c:pt idx="28">
                  <c:v>1065.757258064516</c:v>
                </c:pt>
                <c:pt idx="29">
                  <c:v>1522.3294354838708</c:v>
                </c:pt>
                <c:pt idx="30">
                  <c:v>2415.1816935483866</c:v>
                </c:pt>
                <c:pt idx="31">
                  <c:v>1184.6109677419354</c:v>
                </c:pt>
                <c:pt idx="32">
                  <c:v>2499.2489516129031</c:v>
                </c:pt>
                <c:pt idx="33">
                  <c:v>1339.7005645161289</c:v>
                </c:pt>
                <c:pt idx="34">
                  <c:v>2311.5315760368667</c:v>
                </c:pt>
                <c:pt idx="35">
                  <c:v>2367.1898986175111</c:v>
                </c:pt>
                <c:pt idx="36">
                  <c:v>2609.701161290322</c:v>
                </c:pt>
                <c:pt idx="37">
                  <c:v>2561.9940276497696</c:v>
                </c:pt>
                <c:pt idx="38">
                  <c:v>2282.3772165898617</c:v>
                </c:pt>
                <c:pt idx="39">
                  <c:v>2355.2631152073732</c:v>
                </c:pt>
                <c:pt idx="40">
                  <c:v>2644.1563133640552</c:v>
                </c:pt>
                <c:pt idx="41">
                  <c:v>2380.4418801843321</c:v>
                </c:pt>
                <c:pt idx="42">
                  <c:v>2479.8317419354835</c:v>
                </c:pt>
                <c:pt idx="43">
                  <c:v>2353.9379170506909</c:v>
                </c:pt>
                <c:pt idx="44">
                  <c:v>2417.5474285714286</c:v>
                </c:pt>
                <c:pt idx="45">
                  <c:v>2168.4101751152075</c:v>
                </c:pt>
                <c:pt idx="46">
                  <c:v>2108.7762580645167</c:v>
                </c:pt>
              </c:numCache>
            </c:numRef>
          </c:yVal>
          <c:smooth val="1"/>
        </c:ser>
        <c:axId val="67337600"/>
        <c:axId val="67348352"/>
      </c:scatterChart>
      <c:valAx>
        <c:axId val="67337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(d)</a:t>
                </a:r>
              </a:p>
            </c:rich>
          </c:tx>
          <c:layout>
            <c:manualLayout>
              <c:xMode val="edge"/>
              <c:yMode val="edge"/>
              <c:x val="0.43257402517799048"/>
              <c:y val="0.93999140825959626"/>
            </c:manualLayout>
          </c:layout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348352"/>
        <c:crosses val="autoZero"/>
        <c:crossBetween val="midCat"/>
      </c:valAx>
      <c:valAx>
        <c:axId val="67348352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NO3- µM</a:t>
                </a:r>
              </a:p>
            </c:rich>
          </c:tx>
        </c:title>
        <c:numFmt formatCode="0" sourceLinked="1"/>
        <c:majorTickMark val="none"/>
        <c:tickLblPos val="nextTo"/>
        <c:crossAx val="67337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604606525911686"/>
          <c:y val="0.53349344615992045"/>
          <c:w val="0.12092130518234163"/>
          <c:h val="4.5454598551742095E-2"/>
        </c:manualLayout>
      </c:layout>
    </c:legend>
    <c:plotVisOnly val="1"/>
    <c:dispBlanksAs val="gap"/>
  </c:chart>
  <c:spPr>
    <a:solidFill>
      <a:schemeClr val="bg2">
        <a:lumMod val="90000"/>
      </a:schemeClr>
    </a:solidFill>
  </c:spPr>
  <c:printSettings>
    <c:headerFooter/>
    <c:pageMargins b="0.75000000000000666" l="0.70000000000000062" r="0.70000000000000062" t="0.75000000000000666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NITRATE PRODUCCION  mmol/day</a:t>
            </a:r>
          </a:p>
        </c:rich>
      </c:tx>
    </c:title>
    <c:plotArea>
      <c:layout>
        <c:manualLayout>
          <c:layoutTarget val="inner"/>
          <c:xMode val="edge"/>
          <c:yMode val="edge"/>
          <c:x val="0.13174623596576757"/>
          <c:y val="8.5106579460742307E-2"/>
          <c:w val="0.77777898341236251"/>
          <c:h val="0.801420289921990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Sheet1!$CW$50:$CW$96</c:f>
              <c:numCache>
                <c:formatCode>General</c:formatCode>
                <c:ptCount val="47"/>
                <c:pt idx="0">
                  <c:v>3</c:v>
                </c:pt>
                <c:pt idx="1">
                  <c:v>4</c:v>
                </c:pt>
                <c:pt idx="2">
                  <c:v>11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24</c:v>
                </c:pt>
                <c:pt idx="10">
                  <c:v>25</c:v>
                </c:pt>
                <c:pt idx="11">
                  <c:v>27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67</c:v>
                </c:pt>
                <c:pt idx="20">
                  <c:v>69</c:v>
                </c:pt>
                <c:pt idx="21">
                  <c:v>71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79</c:v>
                </c:pt>
                <c:pt idx="28">
                  <c:v>80</c:v>
                </c:pt>
                <c:pt idx="29">
                  <c:v>81</c:v>
                </c:pt>
                <c:pt idx="30">
                  <c:v>82</c:v>
                </c:pt>
                <c:pt idx="31">
                  <c:v>83</c:v>
                </c:pt>
                <c:pt idx="32">
                  <c:v>84</c:v>
                </c:pt>
                <c:pt idx="33">
                  <c:v>86</c:v>
                </c:pt>
                <c:pt idx="34">
                  <c:v>87</c:v>
                </c:pt>
                <c:pt idx="35">
                  <c:v>90</c:v>
                </c:pt>
                <c:pt idx="36">
                  <c:v>92</c:v>
                </c:pt>
                <c:pt idx="37">
                  <c:v>93</c:v>
                </c:pt>
                <c:pt idx="38">
                  <c:v>95</c:v>
                </c:pt>
                <c:pt idx="39">
                  <c:v>102</c:v>
                </c:pt>
                <c:pt idx="40">
                  <c:v>104</c:v>
                </c:pt>
                <c:pt idx="41">
                  <c:v>106</c:v>
                </c:pt>
                <c:pt idx="42">
                  <c:v>108</c:v>
                </c:pt>
                <c:pt idx="43">
                  <c:v>111</c:v>
                </c:pt>
                <c:pt idx="44">
                  <c:v>112</c:v>
                </c:pt>
                <c:pt idx="45">
                  <c:v>115</c:v>
                </c:pt>
                <c:pt idx="46">
                  <c:v>117</c:v>
                </c:pt>
              </c:numCache>
            </c:numRef>
          </c:xVal>
          <c:yVal>
            <c:numRef>
              <c:f>Sheet1!$CY$50:$CY$96</c:f>
              <c:numCache>
                <c:formatCode>0.00</c:formatCode>
                <c:ptCount val="47"/>
                <c:pt idx="0">
                  <c:v>1.2586267509481664E-3</c:v>
                </c:pt>
                <c:pt idx="1">
                  <c:v>3.3404956313364056E-2</c:v>
                </c:pt>
                <c:pt idx="2">
                  <c:v>1.6602765421667317E-3</c:v>
                </c:pt>
                <c:pt idx="3">
                  <c:v>8.1126557644468009E-3</c:v>
                </c:pt>
                <c:pt idx="4">
                  <c:v>0</c:v>
                </c:pt>
                <c:pt idx="5">
                  <c:v>3.8524872064224766E-2</c:v>
                </c:pt>
                <c:pt idx="6">
                  <c:v>1.7344343768071011E-2</c:v>
                </c:pt>
                <c:pt idx="7">
                  <c:v>5.4724061114422501E-4</c:v>
                </c:pt>
                <c:pt idx="8">
                  <c:v>2.2478484177416467E-2</c:v>
                </c:pt>
                <c:pt idx="9">
                  <c:v>1.7483658345021035E-2</c:v>
                </c:pt>
                <c:pt idx="10">
                  <c:v>7.970124531132785E-4</c:v>
                </c:pt>
                <c:pt idx="11">
                  <c:v>4.3685775225918129E-3</c:v>
                </c:pt>
                <c:pt idx="12">
                  <c:v>1.0913514215338492E-3</c:v>
                </c:pt>
                <c:pt idx="13">
                  <c:v>3.4705156301572471E-3</c:v>
                </c:pt>
                <c:pt idx="14">
                  <c:v>4.6107608795799337E-2</c:v>
                </c:pt>
                <c:pt idx="15">
                  <c:v>4.7957532388753832E-2</c:v>
                </c:pt>
                <c:pt idx="16">
                  <c:v>4.4121972176646082E-2</c:v>
                </c:pt>
                <c:pt idx="17">
                  <c:v>5.6698130083281423E-2</c:v>
                </c:pt>
                <c:pt idx="18">
                  <c:v>1.58571227809923E-2</c:v>
                </c:pt>
                <c:pt idx="19">
                  <c:v>3.8830848255217592</c:v>
                </c:pt>
                <c:pt idx="20">
                  <c:v>2.6190329847036815</c:v>
                </c:pt>
                <c:pt idx="21">
                  <c:v>5.7019263261770581</c:v>
                </c:pt>
                <c:pt idx="22">
                  <c:v>3.2106405817028021</c:v>
                </c:pt>
                <c:pt idx="23">
                  <c:v>5.8082120976224516</c:v>
                </c:pt>
                <c:pt idx="24">
                  <c:v>6.7318517152858774</c:v>
                </c:pt>
                <c:pt idx="25">
                  <c:v>4.5009369920957063</c:v>
                </c:pt>
                <c:pt idx="26">
                  <c:v>5.6966956713164763</c:v>
                </c:pt>
                <c:pt idx="27">
                  <c:v>11.386815213295993</c:v>
                </c:pt>
                <c:pt idx="28">
                  <c:v>4.1044046961740426</c:v>
                </c:pt>
                <c:pt idx="29">
                  <c:v>6.1170595084135488</c:v>
                </c:pt>
                <c:pt idx="30">
                  <c:v>8.9275466172235021</c:v>
                </c:pt>
                <c:pt idx="31">
                  <c:v>4.708717121463553</c:v>
                </c:pt>
                <c:pt idx="32">
                  <c:v>9.6276800378056286</c:v>
                </c:pt>
                <c:pt idx="33">
                  <c:v>4.98493233308327</c:v>
                </c:pt>
                <c:pt idx="34">
                  <c:v>9.324960511369186</c:v>
                </c:pt>
                <c:pt idx="35">
                  <c:v>9.2236858167308213</c:v>
                </c:pt>
                <c:pt idx="36">
                  <c:v>10.082357657277736</c:v>
                </c:pt>
                <c:pt idx="37">
                  <c:v>9.9326537687344914</c:v>
                </c:pt>
                <c:pt idx="38">
                  <c:v>8.9012711447004609</c:v>
                </c:pt>
                <c:pt idx="39">
                  <c:v>9.185526149308755</c:v>
                </c:pt>
                <c:pt idx="40">
                  <c:v>10.092394217755814</c:v>
                </c:pt>
                <c:pt idx="41">
                  <c:v>9.2837233327188962</c:v>
                </c:pt>
                <c:pt idx="42">
                  <c:v>10.136912204453694</c:v>
                </c:pt>
                <c:pt idx="43">
                  <c:v>9.5277227691219331</c:v>
                </c:pt>
                <c:pt idx="44">
                  <c:v>9.3331589735733402</c:v>
                </c:pt>
                <c:pt idx="45">
                  <c:v>8.199870410099523</c:v>
                </c:pt>
                <c:pt idx="46">
                  <c:v>8.0352047936835369</c:v>
                </c:pt>
              </c:numCache>
            </c:numRef>
          </c:yVal>
        </c:ser>
        <c:axId val="67368448"/>
        <c:axId val="67383296"/>
      </c:scatterChart>
      <c:valAx>
        <c:axId val="67368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(d)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383296"/>
        <c:crosses val="autoZero"/>
        <c:crossBetween val="midCat"/>
      </c:valAx>
      <c:valAx>
        <c:axId val="673832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NO3- µ M</a:t>
                </a:r>
              </a:p>
            </c:rich>
          </c:tx>
        </c:title>
        <c:numFmt formatCode="0.00" sourceLinked="1"/>
        <c:majorTickMark val="none"/>
        <c:tickLblPos val="nextTo"/>
        <c:crossAx val="6736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635061128256933"/>
          <c:y val="0.53191612162963942"/>
          <c:w val="7.777789834123626E-2"/>
          <c:h val="4.4917361382058443E-2"/>
        </c:manualLayout>
      </c:layout>
    </c:legend>
    <c:plotVisOnly val="1"/>
    <c:dispBlanksAs val="gap"/>
  </c:chart>
  <c:printSettings>
    <c:headerFooter/>
    <c:pageMargins b="0.75000000000000533" l="0.70000000000000062" r="0.70000000000000062" t="0.750000000000005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plotArea>
      <c:layout>
        <c:manualLayout>
          <c:layoutTarget val="inner"/>
          <c:xMode val="edge"/>
          <c:yMode val="edge"/>
          <c:x val="3.3707865168539325E-2"/>
          <c:y val="1.9538188277087032E-2"/>
          <c:w val="0.86292134831460665"/>
          <c:h val="0.934280639431616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Sheet1!$S$48:$S$186</c:f>
              <c:numCache>
                <c:formatCode>0.0</c:formatCode>
                <c:ptCount val="139"/>
                <c:pt idx="0">
                  <c:v>2.5132999999999999E-2</c:v>
                </c:pt>
                <c:pt idx="1">
                  <c:v>2.0933E-2</c:v>
                </c:pt>
                <c:pt idx="2">
                  <c:v>4.1764400000000007E-2</c:v>
                </c:pt>
                <c:pt idx="3">
                  <c:v>4.0344000000000014E-3</c:v>
                </c:pt>
                <c:pt idx="4">
                  <c:v>8.0000000000000002E-3</c:v>
                </c:pt>
                <c:pt idx="5">
                  <c:v>1.3736399999999999E-2</c:v>
                </c:pt>
                <c:pt idx="6">
                  <c:v>0</c:v>
                </c:pt>
                <c:pt idx="7">
                  <c:v>1.4814399999999995E-2</c:v>
                </c:pt>
                <c:pt idx="8">
                  <c:v>5.2544399999999998E-2</c:v>
                </c:pt>
                <c:pt idx="9">
                  <c:v>9.1352399999999986E-2</c:v>
                </c:pt>
                <c:pt idx="10">
                  <c:v>0.19031279999999998</c:v>
                </c:pt>
                <c:pt idx="11">
                  <c:v>1.8981000000000001E-2</c:v>
                </c:pt>
                <c:pt idx="12">
                  <c:v>3.5000000000000003E-2</c:v>
                </c:pt>
                <c:pt idx="13">
                  <c:v>0.2</c:v>
                </c:pt>
                <c:pt idx="14">
                  <c:v>0.3</c:v>
                </c:pt>
                <c:pt idx="15">
                  <c:v>0.90208299999999997</c:v>
                </c:pt>
                <c:pt idx="16">
                  <c:v>0.71099999999999997</c:v>
                </c:pt>
                <c:pt idx="17">
                  <c:v>1.1739999999999999</c:v>
                </c:pt>
                <c:pt idx="18">
                  <c:v>0.72299999999999998</c:v>
                </c:pt>
                <c:pt idx="19">
                  <c:v>0.64100000000000001</c:v>
                </c:pt>
                <c:pt idx="20">
                  <c:v>1.0309999999999999</c:v>
                </c:pt>
                <c:pt idx="21">
                  <c:v>1.054</c:v>
                </c:pt>
                <c:pt idx="22">
                  <c:v>0.65300000000000002</c:v>
                </c:pt>
                <c:pt idx="23">
                  <c:v>0.50159999999999993</c:v>
                </c:pt>
                <c:pt idx="24">
                  <c:v>0.70529999999999993</c:v>
                </c:pt>
                <c:pt idx="25">
                  <c:v>1.0543799999999999</c:v>
                </c:pt>
                <c:pt idx="26">
                  <c:v>0.71616000000000002</c:v>
                </c:pt>
                <c:pt idx="27">
                  <c:v>1.0336800000000002</c:v>
                </c:pt>
                <c:pt idx="28">
                  <c:v>1.37256</c:v>
                </c:pt>
                <c:pt idx="29">
                  <c:v>0.28696999999999995</c:v>
                </c:pt>
                <c:pt idx="30">
                  <c:v>1.16655</c:v>
                </c:pt>
                <c:pt idx="31">
                  <c:v>1.6108199999999999</c:v>
                </c:pt>
                <c:pt idx="32">
                  <c:v>1.7036699999999998</c:v>
                </c:pt>
                <c:pt idx="33">
                  <c:v>1.534025</c:v>
                </c:pt>
                <c:pt idx="34">
                  <c:v>1.3643799999999999</c:v>
                </c:pt>
                <c:pt idx="35">
                  <c:v>1.72953</c:v>
                </c:pt>
                <c:pt idx="36">
                  <c:v>1.7496799999999999</c:v>
                </c:pt>
                <c:pt idx="37">
                  <c:v>1.4541499999999998</c:v>
                </c:pt>
                <c:pt idx="38">
                  <c:v>1.4779899999999999</c:v>
                </c:pt>
                <c:pt idx="39">
                  <c:v>1.4</c:v>
                </c:pt>
                <c:pt idx="40">
                  <c:v>1.35</c:v>
                </c:pt>
                <c:pt idx="41">
                  <c:v>1.3003600000000002</c:v>
                </c:pt>
                <c:pt idx="42">
                  <c:v>1.6528499999999999</c:v>
                </c:pt>
                <c:pt idx="43">
                  <c:v>0.95086000000000004</c:v>
                </c:pt>
                <c:pt idx="44">
                  <c:v>1.3280500000000002</c:v>
                </c:pt>
                <c:pt idx="45">
                  <c:v>1.7575000000000001</c:v>
                </c:pt>
                <c:pt idx="46">
                  <c:v>1.1462000000000001</c:v>
                </c:pt>
                <c:pt idx="47">
                  <c:v>2.9926999999999997</c:v>
                </c:pt>
                <c:pt idx="48">
                  <c:v>3.7084999999999999</c:v>
                </c:pt>
                <c:pt idx="49">
                  <c:v>3.3987000000000003</c:v>
                </c:pt>
                <c:pt idx="50">
                  <c:v>5.5360999999999994</c:v>
                </c:pt>
                <c:pt idx="51">
                  <c:v>2.085</c:v>
                </c:pt>
                <c:pt idx="52">
                  <c:v>1.5429999999999999</c:v>
                </c:pt>
                <c:pt idx="53">
                  <c:v>5.3479999999999999</c:v>
                </c:pt>
                <c:pt idx="54">
                  <c:v>4.3285900000000002</c:v>
                </c:pt>
                <c:pt idx="55">
                  <c:v>8.08</c:v>
                </c:pt>
                <c:pt idx="56">
                  <c:v>7.59</c:v>
                </c:pt>
                <c:pt idx="57">
                  <c:v>3.32</c:v>
                </c:pt>
                <c:pt idx="58">
                  <c:v>2.68</c:v>
                </c:pt>
                <c:pt idx="59">
                  <c:v>4.92</c:v>
                </c:pt>
                <c:pt idx="60">
                  <c:v>4.66</c:v>
                </c:pt>
                <c:pt idx="61">
                  <c:v>5.84</c:v>
                </c:pt>
                <c:pt idx="62">
                  <c:v>6.4</c:v>
                </c:pt>
                <c:pt idx="63">
                  <c:v>5.7999000000000009</c:v>
                </c:pt>
                <c:pt idx="64">
                  <c:v>7.2728599999999997</c:v>
                </c:pt>
                <c:pt idx="65">
                  <c:v>8.304310000000001</c:v>
                </c:pt>
                <c:pt idx="66">
                  <c:v>4.1270800000000003</c:v>
                </c:pt>
                <c:pt idx="67">
                  <c:v>3.2820699999999996</c:v>
                </c:pt>
                <c:pt idx="68">
                  <c:v>4.0378600000000002</c:v>
                </c:pt>
                <c:pt idx="69">
                  <c:v>4.0609099999999998</c:v>
                </c:pt>
                <c:pt idx="70">
                  <c:v>5.3466800000000001</c:v>
                </c:pt>
                <c:pt idx="71">
                  <c:v>4.1505000000000001</c:v>
                </c:pt>
                <c:pt idx="72">
                  <c:v>4.0619000000000005</c:v>
                </c:pt>
                <c:pt idx="73">
                  <c:v>4.7246999999999995</c:v>
                </c:pt>
                <c:pt idx="74">
                  <c:v>5.1505000000000001</c:v>
                </c:pt>
                <c:pt idx="75">
                  <c:v>4.5319000000000003</c:v>
                </c:pt>
                <c:pt idx="76">
                  <c:v>4.6648000000000005</c:v>
                </c:pt>
                <c:pt idx="77">
                  <c:v>4.7370000000000001</c:v>
                </c:pt>
                <c:pt idx="78">
                  <c:v>5.9819500000000003</c:v>
                </c:pt>
                <c:pt idx="79">
                  <c:v>7.2269000000000005</c:v>
                </c:pt>
                <c:pt idx="80">
                  <c:v>7.6185</c:v>
                </c:pt>
                <c:pt idx="81">
                  <c:v>3.4966999999999997</c:v>
                </c:pt>
                <c:pt idx="82">
                  <c:v>5.8262999999999998</c:v>
                </c:pt>
                <c:pt idx="83">
                  <c:v>5.9053999999999993</c:v>
                </c:pt>
                <c:pt idx="84">
                  <c:v>5.9844999999999997</c:v>
                </c:pt>
                <c:pt idx="85">
                  <c:v>4.4047999999999998</c:v>
                </c:pt>
                <c:pt idx="86">
                  <c:v>3.6228000000000002</c:v>
                </c:pt>
                <c:pt idx="87">
                  <c:v>3.915</c:v>
                </c:pt>
                <c:pt idx="88">
                  <c:v>5.3262</c:v>
                </c:pt>
              </c:numCache>
            </c:numRef>
          </c:xVal>
          <c:yVal>
            <c:numRef>
              <c:f>Sheet1!$DG$51:$DG$179</c:f>
              <c:numCache>
                <c:formatCode>0.0</c:formatCode>
                <c:ptCount val="129"/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Sheet1!$BO$49:$BO$136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</c:numCache>
            </c:numRef>
          </c:xVal>
          <c:yVal>
            <c:numRef>
              <c:f>Sheet1!$DE$52:$DE$138</c:f>
              <c:numCache>
                <c:formatCode>General</c:formatCode>
                <c:ptCount val="87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Sheet1!$BO$49:$BO$136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</c:numCache>
            </c:numRef>
          </c:xVal>
          <c:yVal>
            <c:numRef>
              <c:f>Sheet1!$DB$51:$DB$139</c:f>
              <c:numCache>
                <c:formatCode>General</c:formatCode>
                <c:ptCount val="89"/>
              </c:numCache>
            </c:numRef>
          </c:yVal>
        </c:ser>
        <c:axId val="67416064"/>
        <c:axId val="67417984"/>
      </c:scatterChart>
      <c:valAx>
        <c:axId val="67416064"/>
        <c:scaling>
          <c:orientation val="minMax"/>
        </c:scaling>
        <c:axPos val="b"/>
        <c:numFmt formatCode="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417984"/>
        <c:crosses val="autoZero"/>
        <c:crossBetween val="midCat"/>
      </c:valAx>
      <c:valAx>
        <c:axId val="67417984"/>
        <c:scaling>
          <c:orientation val="minMax"/>
        </c:scaling>
        <c:axPos val="l"/>
        <c:majorGridlines/>
        <c:numFmt formatCode="0.0" sourceLinked="1"/>
        <c:tickLblPos val="nextTo"/>
        <c:crossAx val="674160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337078651685391"/>
          <c:y val="0.45293072824156294"/>
          <c:w val="5.5056179775280892E-2"/>
          <c:h val="0.10301953818827707"/>
        </c:manualLayout>
      </c:layout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_tradnl"/>
  <c:chart>
    <c:plotArea>
      <c:layout>
        <c:manualLayout>
          <c:layoutTarget val="inner"/>
          <c:xMode val="edge"/>
          <c:yMode val="edge"/>
          <c:x val="4.0449438202247182E-2"/>
          <c:y val="1.9469043374104128E-2"/>
          <c:w val="0.83258426966292121"/>
          <c:h val="0.93451408195699825"/>
        </c:manualLayout>
      </c:layout>
      <c:scatterChart>
        <c:scatterStyle val="lineMarker"/>
        <c:ser>
          <c:idx val="1"/>
          <c:order val="0"/>
          <c:tx>
            <c:v>NO3-/NH4+</c:v>
          </c:tx>
          <c:spPr>
            <a:ln w="28575">
              <a:noFill/>
            </a:ln>
          </c:spPr>
          <c:xVal>
            <c:numRef>
              <c:f>Sheet1!$BO$49:$BO$136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</c:numCache>
            </c:numRef>
          </c:xVal>
          <c:yVal>
            <c:numRef>
              <c:f>Sheet1!$DZ$50:$DZ$136</c:f>
              <c:numCache>
                <c:formatCode>0.00</c:formatCode>
                <c:ptCount val="87"/>
              </c:numCache>
            </c:numRef>
          </c:yVal>
        </c:ser>
        <c:ser>
          <c:idx val="2"/>
          <c:order val="1"/>
          <c:tx>
            <c:v>NO2-/NH4+</c:v>
          </c:tx>
          <c:spPr>
            <a:ln w="28575">
              <a:noFill/>
            </a:ln>
          </c:spPr>
          <c:xVal>
            <c:numRef>
              <c:f>Sheet1!$BO$49:$BO$136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  <c:pt idx="46">
                  <c:v>49</c:v>
                </c:pt>
                <c:pt idx="47">
                  <c:v>50</c:v>
                </c:pt>
                <c:pt idx="48">
                  <c:v>51</c:v>
                </c:pt>
                <c:pt idx="49">
                  <c:v>52</c:v>
                </c:pt>
                <c:pt idx="50">
                  <c:v>53</c:v>
                </c:pt>
                <c:pt idx="51">
                  <c:v>54</c:v>
                </c:pt>
                <c:pt idx="52">
                  <c:v>55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59</c:v>
                </c:pt>
                <c:pt idx="57">
                  <c:v>60</c:v>
                </c:pt>
                <c:pt idx="58">
                  <c:v>61</c:v>
                </c:pt>
                <c:pt idx="59">
                  <c:v>62</c:v>
                </c:pt>
                <c:pt idx="60">
                  <c:v>63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</c:numCache>
            </c:numRef>
          </c:xVal>
          <c:yVal>
            <c:numRef>
              <c:f>Sheet1!$DH$51:$DH$139</c:f>
              <c:numCache>
                <c:formatCode>0</c:formatCode>
                <c:ptCount val="89"/>
              </c:numCache>
            </c:numRef>
          </c:yVal>
        </c:ser>
        <c:axId val="67488000"/>
        <c:axId val="67436928"/>
      </c:scatterChart>
      <c:valAx>
        <c:axId val="6748800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67436928"/>
        <c:crosses val="autoZero"/>
        <c:crossBetween val="midCat"/>
      </c:valAx>
      <c:valAx>
        <c:axId val="67436928"/>
        <c:scaling>
          <c:orientation val="minMax"/>
        </c:scaling>
        <c:axPos val="l"/>
        <c:majorGridlines/>
        <c:numFmt formatCode="0.00" sourceLinked="1"/>
        <c:tickLblPos val="nextTo"/>
        <c:crossAx val="67488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898876404494366"/>
          <c:y val="0.47256678008052749"/>
          <c:w val="7.6404494382022459E-2"/>
          <c:h val="6.7256695292359711E-2"/>
        </c:manualLayout>
      </c:layout>
    </c:legend>
    <c:plotVisOnly val="1"/>
    <c:dispBlanksAs val="gap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18</xdr:row>
      <xdr:rowOff>28575</xdr:rowOff>
    </xdr:from>
    <xdr:to>
      <xdr:col>11</xdr:col>
      <xdr:colOff>485775</xdr:colOff>
      <xdr:row>32</xdr:row>
      <xdr:rowOff>114300</xdr:rowOff>
    </xdr:to>
    <xdr:graphicFrame macro="">
      <xdr:nvGraphicFramePr>
        <xdr:cNvPr id="104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466725</xdr:colOff>
      <xdr:row>19</xdr:row>
      <xdr:rowOff>123825</xdr:rowOff>
    </xdr:from>
    <xdr:to>
      <xdr:col>23</xdr:col>
      <xdr:colOff>333375</xdr:colOff>
      <xdr:row>40</xdr:row>
      <xdr:rowOff>171450</xdr:rowOff>
    </xdr:to>
    <xdr:graphicFrame macro="">
      <xdr:nvGraphicFramePr>
        <xdr:cNvPr id="10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114300</xdr:colOff>
      <xdr:row>19</xdr:row>
      <xdr:rowOff>123825</xdr:rowOff>
    </xdr:from>
    <xdr:to>
      <xdr:col>34</xdr:col>
      <xdr:colOff>123825</xdr:colOff>
      <xdr:row>40</xdr:row>
      <xdr:rowOff>57150</xdr:rowOff>
    </xdr:to>
    <xdr:graphicFrame macro="">
      <xdr:nvGraphicFramePr>
        <xdr:cNvPr id="104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381000</xdr:colOff>
      <xdr:row>20</xdr:row>
      <xdr:rowOff>95250</xdr:rowOff>
    </xdr:from>
    <xdr:to>
      <xdr:col>71</xdr:col>
      <xdr:colOff>390525</xdr:colOff>
      <xdr:row>40</xdr:row>
      <xdr:rowOff>76200</xdr:rowOff>
    </xdr:to>
    <xdr:graphicFrame macro="">
      <xdr:nvGraphicFramePr>
        <xdr:cNvPr id="1045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72</xdr:col>
      <xdr:colOff>133350</xdr:colOff>
      <xdr:row>20</xdr:row>
      <xdr:rowOff>85725</xdr:rowOff>
    </xdr:from>
    <xdr:to>
      <xdr:col>81</xdr:col>
      <xdr:colOff>523875</xdr:colOff>
      <xdr:row>40</xdr:row>
      <xdr:rowOff>133350</xdr:rowOff>
    </xdr:to>
    <xdr:graphicFrame macro="">
      <xdr:nvGraphicFramePr>
        <xdr:cNvPr id="104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93</xdr:col>
      <xdr:colOff>76200</xdr:colOff>
      <xdr:row>8</xdr:row>
      <xdr:rowOff>104775</xdr:rowOff>
    </xdr:from>
    <xdr:to>
      <xdr:col>101</xdr:col>
      <xdr:colOff>0</xdr:colOff>
      <xdr:row>29</xdr:row>
      <xdr:rowOff>66675</xdr:rowOff>
    </xdr:to>
    <xdr:graphicFrame macro="">
      <xdr:nvGraphicFramePr>
        <xdr:cNvPr id="104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100</xdr:col>
      <xdr:colOff>561975</xdr:colOff>
      <xdr:row>8</xdr:row>
      <xdr:rowOff>104775</xdr:rowOff>
    </xdr:from>
    <xdr:to>
      <xdr:col>109</xdr:col>
      <xdr:colOff>409575</xdr:colOff>
      <xdr:row>29</xdr:row>
      <xdr:rowOff>114300</xdr:rowOff>
    </xdr:to>
    <xdr:graphicFrame macro="">
      <xdr:nvGraphicFramePr>
        <xdr:cNvPr id="104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124</xdr:col>
      <xdr:colOff>990600</xdr:colOff>
      <xdr:row>15</xdr:row>
      <xdr:rowOff>123825</xdr:rowOff>
    </xdr:from>
    <xdr:to>
      <xdr:col>138</xdr:col>
      <xdr:colOff>466725</xdr:colOff>
      <xdr:row>42</xdr:row>
      <xdr:rowOff>180975</xdr:rowOff>
    </xdr:to>
    <xdr:graphicFrame macro="">
      <xdr:nvGraphicFramePr>
        <xdr:cNvPr id="104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445293</xdr:colOff>
      <xdr:row>2</xdr:row>
      <xdr:rowOff>127316</xdr:rowOff>
    </xdr:from>
    <xdr:to>
      <xdr:col>20</xdr:col>
      <xdr:colOff>320165</xdr:colOff>
      <xdr:row>12</xdr:row>
      <xdr:rowOff>178194</xdr:rowOff>
    </xdr:to>
    <xdr:sp macro="" textlink="">
      <xdr:nvSpPr>
        <xdr:cNvPr id="10" name="TextBox 9"/>
        <xdr:cNvSpPr txBox="1"/>
      </xdr:nvSpPr>
      <xdr:spPr>
        <a:xfrm>
          <a:off x="11191874" y="527842"/>
          <a:ext cx="3356240" cy="19605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FACTORS:</a:t>
          </a:r>
        </a:p>
        <a:p>
          <a:endParaRPr lang="en-US" sz="1100"/>
        </a:p>
        <a:p>
          <a:r>
            <a:rPr lang="en-US" sz="1100"/>
            <a:t>1</a:t>
          </a:r>
          <a:r>
            <a:rPr lang="en-US" sz="1100" baseline="0"/>
            <a:t> - CONCENTRATION OF THE MEDIUM</a:t>
          </a:r>
        </a:p>
        <a:p>
          <a:r>
            <a:rPr lang="en-US" sz="1100" baseline="0"/>
            <a:t>2 - INFLUENT RATE (VOLUME DIFFERENCES/TIME)</a:t>
          </a:r>
        </a:p>
        <a:p>
          <a:r>
            <a:rPr lang="en-US" sz="1100" baseline="0"/>
            <a:t>3 - REACTOR MINIMUM VOLUME</a:t>
          </a:r>
        </a:p>
        <a:p>
          <a:endParaRPr lang="en-US" sz="1100" baseline="0"/>
        </a:p>
        <a:p>
          <a:r>
            <a:rPr lang="en-US" sz="1100" baseline="0"/>
            <a:t>ASUMPTIONS:</a:t>
          </a:r>
        </a:p>
        <a:p>
          <a:endParaRPr lang="en-US" sz="1100" baseline="0"/>
        </a:p>
        <a:p>
          <a:r>
            <a:rPr lang="en-US" sz="1100" baseline="0"/>
            <a:t>1 - VOLUMEN IN = VOLUMEN OUT </a:t>
          </a:r>
        </a:p>
        <a:p>
          <a:pPr>
            <a:lnSpc>
              <a:spcPts val="1200"/>
            </a:lnSpc>
          </a:pPr>
          <a:r>
            <a:rPr lang="en-US" sz="1100" baseline="0"/>
            <a:t>2 - MEASURED CONCENTRATION REMAINs CONSTANT DURING 24 HOURS PERIOD </a:t>
          </a:r>
        </a:p>
        <a:p>
          <a:pPr>
            <a:lnSpc>
              <a:spcPts val="1200"/>
            </a:lnSpc>
          </a:pPr>
          <a:r>
            <a:rPr lang="en-US" sz="1100" baseline="0"/>
            <a:t>3 - NO CHEMICAL CONVERSION</a:t>
          </a:r>
        </a:p>
      </xdr:txBody>
    </xdr:sp>
    <xdr:clientData/>
  </xdr:twoCellAnchor>
  <xdr:twoCellAnchor>
    <xdr:from>
      <xdr:col>124</xdr:col>
      <xdr:colOff>542925</xdr:colOff>
      <xdr:row>52</xdr:row>
      <xdr:rowOff>76200</xdr:rowOff>
    </xdr:from>
    <xdr:to>
      <xdr:col>138</xdr:col>
      <xdr:colOff>19050</xdr:colOff>
      <xdr:row>80</xdr:row>
      <xdr:rowOff>123825</xdr:rowOff>
    </xdr:to>
    <xdr:graphicFrame macro="">
      <xdr:nvGraphicFramePr>
        <xdr:cNvPr id="105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130</xdr:col>
      <xdr:colOff>533400</xdr:colOff>
      <xdr:row>113</xdr:row>
      <xdr:rowOff>114300</xdr:rowOff>
    </xdr:from>
    <xdr:to>
      <xdr:col>149</xdr:col>
      <xdr:colOff>495300</xdr:colOff>
      <xdr:row>138</xdr:row>
      <xdr:rowOff>171450</xdr:rowOff>
    </xdr:to>
    <xdr:graphicFrame macro="">
      <xdr:nvGraphicFramePr>
        <xdr:cNvPr id="105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140</xdr:col>
      <xdr:colOff>542925</xdr:colOff>
      <xdr:row>27</xdr:row>
      <xdr:rowOff>85725</xdr:rowOff>
    </xdr:from>
    <xdr:to>
      <xdr:col>154</xdr:col>
      <xdr:colOff>19050</xdr:colOff>
      <xdr:row>48</xdr:row>
      <xdr:rowOff>76200</xdr:rowOff>
    </xdr:to>
    <xdr:graphicFrame macro="">
      <xdr:nvGraphicFramePr>
        <xdr:cNvPr id="105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381000</xdr:colOff>
      <xdr:row>0</xdr:row>
      <xdr:rowOff>0</xdr:rowOff>
    </xdr:from>
    <xdr:to>
      <xdr:col>34</xdr:col>
      <xdr:colOff>85725</xdr:colOff>
      <xdr:row>16</xdr:row>
      <xdr:rowOff>142875</xdr:rowOff>
    </xdr:to>
    <xdr:graphicFrame macro="">
      <xdr:nvGraphicFramePr>
        <xdr:cNvPr id="105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73</xdr:col>
      <xdr:colOff>200025</xdr:colOff>
      <xdr:row>0</xdr:row>
      <xdr:rowOff>171450</xdr:rowOff>
    </xdr:from>
    <xdr:to>
      <xdr:col>81</xdr:col>
      <xdr:colOff>152400</xdr:colOff>
      <xdr:row>18</xdr:row>
      <xdr:rowOff>142875</xdr:rowOff>
    </xdr:to>
    <xdr:graphicFrame macro="">
      <xdr:nvGraphicFramePr>
        <xdr:cNvPr id="1055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82</xdr:col>
      <xdr:colOff>47625</xdr:colOff>
      <xdr:row>1</xdr:row>
      <xdr:rowOff>76200</xdr:rowOff>
    </xdr:from>
    <xdr:to>
      <xdr:col>92</xdr:col>
      <xdr:colOff>0</xdr:colOff>
      <xdr:row>19</xdr:row>
      <xdr:rowOff>66675</xdr:rowOff>
    </xdr:to>
    <xdr:graphicFrame macro="">
      <xdr:nvGraphicFramePr>
        <xdr:cNvPr id="105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0.03441</cdr:x>
      <cdr:y>0.65087</cdr:y>
    </cdr:from>
    <cdr:to>
      <cdr:x>0.96981</cdr:x>
      <cdr:y>0.66371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21393" y="3143237"/>
          <a:ext cx="10724286" cy="59552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_tradnl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Z262"/>
  <sheetViews>
    <sheetView tabSelected="1" topLeftCell="BR1" zoomScale="80" zoomScaleNormal="80" workbookViewId="0">
      <selection activeCell="BO100" sqref="BO100"/>
    </sheetView>
  </sheetViews>
  <sheetFormatPr baseColWidth="10" defaultColWidth="9.140625" defaultRowHeight="15"/>
  <cols>
    <col min="2" max="2" width="11.5703125" customWidth="1"/>
    <col min="4" max="4" width="10.5703125" bestFit="1" customWidth="1"/>
    <col min="7" max="7" width="14.28515625" customWidth="1"/>
    <col min="8" max="8" width="11.140625" customWidth="1"/>
    <col min="9" max="9" width="12" customWidth="1"/>
    <col min="10" max="10" width="14.140625" customWidth="1"/>
    <col min="11" max="11" width="9" customWidth="1"/>
    <col min="13" max="13" width="12" customWidth="1"/>
    <col min="15" max="15" width="11.7109375" customWidth="1"/>
    <col min="16" max="16" width="13.85546875" customWidth="1"/>
    <col min="17" max="17" width="9.5703125" bestFit="1" customWidth="1"/>
    <col min="20" max="20" width="10.7109375" customWidth="1"/>
    <col min="21" max="21" width="12" customWidth="1"/>
    <col min="22" max="22" width="13.42578125" customWidth="1"/>
    <col min="23" max="23" width="10.5703125" customWidth="1"/>
    <col min="24" max="24" width="11.85546875" customWidth="1"/>
    <col min="25" max="25" width="12.85546875" customWidth="1"/>
    <col min="26" max="27" width="11.85546875" customWidth="1"/>
    <col min="28" max="28" width="10.7109375" customWidth="1"/>
    <col min="29" max="31" width="9.5703125" customWidth="1"/>
    <col min="32" max="32" width="10.28515625" customWidth="1"/>
    <col min="33" max="33" width="12.85546875" customWidth="1"/>
    <col min="34" max="34" width="13" customWidth="1"/>
    <col min="35" max="37" width="11" customWidth="1"/>
    <col min="38" max="39" width="10.140625" customWidth="1"/>
    <col min="40" max="40" width="9.140625" customWidth="1"/>
    <col min="41" max="41" width="12" customWidth="1"/>
    <col min="42" max="42" width="11.85546875" customWidth="1"/>
    <col min="43" max="43" width="13.140625" customWidth="1"/>
    <col min="44" max="44" width="11.28515625" customWidth="1"/>
    <col min="45" max="45" width="13.28515625" customWidth="1"/>
    <col min="46" max="46" width="16.5703125" customWidth="1"/>
    <col min="47" max="47" width="15.85546875" customWidth="1"/>
    <col min="48" max="48" width="11.85546875" customWidth="1"/>
    <col min="49" max="49" width="9.28515625" customWidth="1"/>
    <col min="50" max="50" width="11.7109375" customWidth="1"/>
    <col min="51" max="51" width="16.85546875" customWidth="1"/>
    <col min="52" max="54" width="9.140625" customWidth="1"/>
    <col min="55" max="55" width="11.85546875" customWidth="1"/>
    <col min="56" max="56" width="13.140625" customWidth="1"/>
    <col min="57" max="57" width="12.140625" customWidth="1"/>
    <col min="58" max="58" width="13.28515625" customWidth="1"/>
    <col min="59" max="59" width="7.42578125" customWidth="1"/>
    <col min="60" max="60" width="12.28515625" customWidth="1"/>
    <col min="61" max="61" width="11.85546875" customWidth="1"/>
    <col min="62" max="62" width="11" customWidth="1"/>
    <col min="64" max="64" width="12.140625" customWidth="1"/>
    <col min="65" max="68" width="9.140625" customWidth="1"/>
    <col min="69" max="69" width="13.140625" customWidth="1"/>
    <col min="70" max="70" width="13.42578125" customWidth="1"/>
    <col min="71" max="71" width="11.140625" customWidth="1"/>
    <col min="72" max="72" width="9.140625" customWidth="1"/>
    <col min="73" max="73" width="12" customWidth="1"/>
    <col min="74" max="74" width="14.28515625" customWidth="1"/>
    <col min="75" max="75" width="13.85546875" customWidth="1"/>
    <col min="76" max="86" width="9.140625" customWidth="1"/>
    <col min="87" max="88" width="12.140625" customWidth="1"/>
    <col min="89" max="95" width="9.140625" customWidth="1"/>
    <col min="98" max="98" width="11.5703125" customWidth="1"/>
    <col min="103" max="103" width="12" customWidth="1"/>
    <col min="104" max="104" width="12.140625" customWidth="1"/>
    <col min="107" max="107" width="13.28515625" customWidth="1"/>
    <col min="114" max="114" width="8.5703125" customWidth="1"/>
    <col min="118" max="118" width="18.85546875" bestFit="1" customWidth="1"/>
    <col min="119" max="119" width="13" customWidth="1"/>
    <col min="120" max="120" width="12.140625" customWidth="1"/>
    <col min="121" max="121" width="12.85546875" customWidth="1"/>
    <col min="122" max="122" width="9.5703125" bestFit="1" customWidth="1"/>
    <col min="123" max="123" width="14" customWidth="1"/>
    <col min="124" max="124" width="11.42578125" customWidth="1"/>
    <col min="125" max="125" width="16.140625" customWidth="1"/>
  </cols>
  <sheetData>
    <row r="1" spans="1:101">
      <c r="A1" s="9" t="s">
        <v>27</v>
      </c>
      <c r="BV1" s="5"/>
      <c r="BW1" s="23"/>
      <c r="BX1" s="35"/>
      <c r="BY1" s="36"/>
    </row>
    <row r="2" spans="1:101">
      <c r="F2" s="13" t="s">
        <v>9</v>
      </c>
      <c r="G2" s="14" t="s">
        <v>74</v>
      </c>
      <c r="BV2" s="5"/>
      <c r="BW2" s="23"/>
      <c r="BX2" s="35"/>
      <c r="BY2" s="36"/>
    </row>
    <row r="3" spans="1:101">
      <c r="A3" t="s">
        <v>0</v>
      </c>
      <c r="C3" s="9" t="s">
        <v>28</v>
      </c>
      <c r="K3" s="9" t="s">
        <v>10</v>
      </c>
    </row>
    <row r="4" spans="1:101">
      <c r="M4" s="9" t="s">
        <v>21</v>
      </c>
      <c r="T4" s="9"/>
      <c r="BO4" s="10"/>
      <c r="BP4" s="8"/>
      <c r="BQ4" s="8"/>
      <c r="BR4" s="8"/>
      <c r="BS4" s="8"/>
      <c r="BT4" s="8"/>
    </row>
    <row r="5" spans="1:101" ht="15.75" thickBot="1">
      <c r="A5" s="1" t="s">
        <v>1</v>
      </c>
      <c r="B5">
        <v>623</v>
      </c>
      <c r="C5" t="s">
        <v>2</v>
      </c>
      <c r="BO5" s="5"/>
      <c r="BP5" s="23"/>
      <c r="BQ5" s="35"/>
      <c r="BR5" s="36"/>
      <c r="BS5" s="18"/>
      <c r="BT5" s="5"/>
      <c r="BV5" s="5"/>
      <c r="BW5" s="23"/>
      <c r="BX5" s="35"/>
      <c r="BY5" s="36"/>
    </row>
    <row r="6" spans="1:101" ht="15.75" thickBot="1">
      <c r="C6" t="s">
        <v>11</v>
      </c>
      <c r="K6" s="9" t="s">
        <v>17</v>
      </c>
      <c r="L6" s="9">
        <v>1000</v>
      </c>
      <c r="M6" s="10" t="s">
        <v>30</v>
      </c>
      <c r="R6" s="9"/>
      <c r="S6" s="9"/>
      <c r="T6" s="9"/>
      <c r="BO6" s="5"/>
      <c r="BP6" s="23"/>
      <c r="BQ6" s="35"/>
      <c r="BR6" s="36"/>
      <c r="BS6" s="18"/>
      <c r="BT6" s="5"/>
      <c r="BV6" s="5"/>
      <c r="BW6" s="23"/>
      <c r="BX6" s="35"/>
      <c r="BY6" s="36"/>
      <c r="CK6" s="33"/>
      <c r="CL6" s="46"/>
      <c r="CM6" s="46"/>
      <c r="CN6" s="46"/>
      <c r="CT6" s="42"/>
      <c r="CU6" s="43"/>
      <c r="CV6" s="44"/>
    </row>
    <row r="7" spans="1:101">
      <c r="A7" t="s">
        <v>3</v>
      </c>
      <c r="C7" t="s">
        <v>4</v>
      </c>
      <c r="D7" t="s">
        <v>12</v>
      </c>
      <c r="K7" t="s">
        <v>22</v>
      </c>
      <c r="L7" s="11" t="s">
        <v>29</v>
      </c>
      <c r="M7" s="10" t="s">
        <v>30</v>
      </c>
      <c r="BO7" s="5"/>
      <c r="BP7" s="23"/>
      <c r="BQ7" s="35"/>
      <c r="BR7" s="36"/>
      <c r="BS7" s="18"/>
      <c r="BT7" s="5"/>
      <c r="CK7" s="33"/>
      <c r="CL7" s="46"/>
      <c r="CM7" s="46"/>
      <c r="CN7" s="46"/>
      <c r="CP7" s="33"/>
    </row>
    <row r="8" spans="1:101">
      <c r="F8" t="s">
        <v>5</v>
      </c>
      <c r="G8" t="s">
        <v>6</v>
      </c>
      <c r="BO8" s="5"/>
      <c r="BP8" s="23"/>
      <c r="BQ8" s="35"/>
      <c r="BR8" s="36"/>
      <c r="BS8" s="18"/>
      <c r="BT8" s="5"/>
      <c r="CK8" s="5"/>
      <c r="CL8" s="5"/>
      <c r="CM8" s="5"/>
      <c r="CN8" s="5"/>
      <c r="CO8" s="5"/>
      <c r="CR8" s="40"/>
      <c r="CS8" s="41"/>
      <c r="CT8" s="5"/>
      <c r="CU8" s="5"/>
      <c r="CV8" s="5"/>
      <c r="CW8" s="5"/>
    </row>
    <row r="9" spans="1:101">
      <c r="A9">
        <v>0</v>
      </c>
      <c r="C9">
        <v>1E-3</v>
      </c>
      <c r="D9" s="2">
        <f>AVERAGE(C9:C10)</f>
        <v>-1E-3</v>
      </c>
      <c r="I9" s="9" t="s">
        <v>24</v>
      </c>
      <c r="J9" s="8" t="s">
        <v>13</v>
      </c>
      <c r="K9" s="8" t="s">
        <v>14</v>
      </c>
      <c r="L9" s="8" t="s">
        <v>17</v>
      </c>
      <c r="N9" s="9" t="s">
        <v>15</v>
      </c>
      <c r="Q9" s="8"/>
      <c r="R9" s="8"/>
      <c r="S9" s="8"/>
      <c r="T9" s="8"/>
      <c r="V9" s="9"/>
      <c r="BO9" s="5"/>
      <c r="BP9" s="23"/>
      <c r="BQ9" s="35"/>
      <c r="BR9" s="36"/>
      <c r="BS9" s="18"/>
      <c r="BT9" s="5"/>
      <c r="CK9" s="5"/>
      <c r="CL9" s="5"/>
      <c r="CM9" s="5"/>
      <c r="CN9" s="5"/>
      <c r="CO9" s="5"/>
      <c r="CP9" s="18"/>
      <c r="CR9" s="40"/>
      <c r="CS9" s="41"/>
      <c r="CT9" s="5"/>
      <c r="CU9" s="5"/>
      <c r="CV9" s="5"/>
      <c r="CW9" s="5"/>
    </row>
    <row r="10" spans="1:101">
      <c r="C10">
        <v>-3.0000000000000001E-3</v>
      </c>
      <c r="J10" t="s">
        <v>23</v>
      </c>
      <c r="K10" s="10" t="s">
        <v>16</v>
      </c>
      <c r="L10" s="10" t="s">
        <v>16</v>
      </c>
      <c r="N10" s="9" t="s">
        <v>26</v>
      </c>
      <c r="S10" s="10"/>
      <c r="T10" s="10"/>
      <c r="V10" s="9"/>
      <c r="BO10" s="5"/>
      <c r="BP10" s="23"/>
      <c r="BQ10" s="35"/>
      <c r="BR10" s="36"/>
      <c r="BS10" s="18"/>
      <c r="BT10" s="5"/>
      <c r="CK10" s="5"/>
      <c r="CL10" s="5"/>
      <c r="CM10" s="5"/>
      <c r="CN10" s="5"/>
      <c r="CO10" s="5"/>
      <c r="CP10" s="18"/>
      <c r="CR10" s="40"/>
      <c r="CS10" s="41"/>
      <c r="CT10" s="5"/>
      <c r="CU10" s="5"/>
      <c r="CV10" s="5"/>
      <c r="CW10" s="5"/>
    </row>
    <row r="11" spans="1:101">
      <c r="A11" s="5">
        <f>+J12</f>
        <v>10</v>
      </c>
      <c r="C11">
        <v>2.3E-2</v>
      </c>
      <c r="D11" s="2">
        <f>AVERAGE(C11:C12)</f>
        <v>2.2499999999999999E-2</v>
      </c>
      <c r="F11">
        <f>+A9</f>
        <v>0</v>
      </c>
      <c r="G11">
        <f>+D9</f>
        <v>-1E-3</v>
      </c>
      <c r="I11">
        <v>0</v>
      </c>
      <c r="J11" s="5">
        <f t="shared" ref="J11:J16" si="0">+N11/(L11+K11)*1000</f>
        <v>0</v>
      </c>
      <c r="K11">
        <v>1000</v>
      </c>
      <c r="L11">
        <v>0</v>
      </c>
      <c r="M11">
        <f t="shared" ref="M11:M16" si="1">+K11+L11</f>
        <v>1000</v>
      </c>
      <c r="N11" s="2">
        <f>+L11/1000*L5</f>
        <v>0</v>
      </c>
      <c r="R11" s="5"/>
      <c r="V11" s="2"/>
      <c r="BO11" s="5"/>
      <c r="BP11" s="23"/>
      <c r="BQ11" s="35"/>
      <c r="BR11" s="36"/>
      <c r="BS11" s="18"/>
      <c r="BT11" s="5"/>
      <c r="CK11" s="5"/>
      <c r="CL11" s="5"/>
      <c r="CM11" s="5"/>
      <c r="CN11" s="5"/>
      <c r="CO11" s="5"/>
      <c r="CP11" s="18"/>
      <c r="CR11" s="40"/>
      <c r="CS11" s="41"/>
      <c r="CT11" s="5"/>
      <c r="CU11" s="5"/>
      <c r="CV11" s="5"/>
      <c r="CW11" s="5"/>
    </row>
    <row r="12" spans="1:101">
      <c r="C12">
        <v>2.1999999999999999E-2</v>
      </c>
      <c r="F12" s="5">
        <f>+A11</f>
        <v>10</v>
      </c>
      <c r="G12">
        <f>+D11</f>
        <v>2.2499999999999999E-2</v>
      </c>
      <c r="I12">
        <v>10</v>
      </c>
      <c r="J12" s="5">
        <f t="shared" si="0"/>
        <v>10</v>
      </c>
      <c r="K12">
        <v>990</v>
      </c>
      <c r="L12">
        <v>10</v>
      </c>
      <c r="M12">
        <f t="shared" si="1"/>
        <v>1000</v>
      </c>
      <c r="N12" s="2">
        <f>+L12/1000*L6</f>
        <v>10</v>
      </c>
      <c r="R12" s="5"/>
      <c r="V12" s="2"/>
      <c r="BO12" s="5"/>
      <c r="BP12" s="23"/>
      <c r="BQ12" s="35"/>
      <c r="BR12" s="36"/>
      <c r="BS12" s="18"/>
      <c r="BT12" s="5"/>
      <c r="CK12" s="5"/>
      <c r="CL12" s="5"/>
      <c r="CM12" s="5"/>
      <c r="CN12" s="5"/>
      <c r="CO12" s="5"/>
      <c r="CP12" s="18"/>
      <c r="CR12" s="40"/>
      <c r="CS12" s="41"/>
      <c r="CT12" s="5"/>
      <c r="CU12" s="5"/>
      <c r="CV12" s="5"/>
      <c r="CW12" s="5"/>
    </row>
    <row r="13" spans="1:101">
      <c r="A13" s="5">
        <f>+J13</f>
        <v>50</v>
      </c>
      <c r="C13">
        <v>0.109</v>
      </c>
      <c r="D13" s="2">
        <f>AVERAGE(C13:C14)</f>
        <v>0.109</v>
      </c>
      <c r="F13">
        <f>+A13</f>
        <v>50</v>
      </c>
      <c r="G13">
        <f>+D13</f>
        <v>0.109</v>
      </c>
      <c r="I13">
        <v>100</v>
      </c>
      <c r="J13" s="5">
        <f t="shared" si="0"/>
        <v>50</v>
      </c>
      <c r="K13">
        <v>950</v>
      </c>
      <c r="L13">
        <v>50</v>
      </c>
      <c r="M13">
        <f t="shared" si="1"/>
        <v>1000</v>
      </c>
      <c r="N13" s="2">
        <f>+L13/1000*$L$6</f>
        <v>50</v>
      </c>
      <c r="R13" s="5"/>
      <c r="V13" s="2"/>
      <c r="BO13" s="5"/>
      <c r="BP13" s="23"/>
      <c r="BQ13" s="35"/>
      <c r="BR13" s="36"/>
      <c r="BS13" s="18"/>
      <c r="BT13" s="5"/>
      <c r="CK13" s="5"/>
      <c r="CL13" s="5"/>
      <c r="CM13" s="5"/>
      <c r="CN13" s="5"/>
      <c r="CO13" s="5"/>
      <c r="CP13" s="18"/>
      <c r="CR13" s="40"/>
      <c r="CS13" s="41"/>
      <c r="CT13" s="5"/>
      <c r="CU13" s="5"/>
      <c r="CV13" s="5"/>
      <c r="CW13" s="5"/>
    </row>
    <row r="14" spans="1:101">
      <c r="C14">
        <v>0.109</v>
      </c>
      <c r="F14">
        <f>+A15</f>
        <v>100</v>
      </c>
      <c r="G14">
        <f>+D15</f>
        <v>0.20549999999999999</v>
      </c>
      <c r="I14">
        <v>150</v>
      </c>
      <c r="J14" s="5">
        <f t="shared" si="0"/>
        <v>100</v>
      </c>
      <c r="K14">
        <v>900</v>
      </c>
      <c r="L14">
        <v>100</v>
      </c>
      <c r="M14">
        <f t="shared" si="1"/>
        <v>1000</v>
      </c>
      <c r="N14" s="2">
        <f>+L14/1000*$L$6</f>
        <v>100</v>
      </c>
      <c r="R14" s="5"/>
      <c r="V14" s="2"/>
      <c r="CK14" s="5"/>
      <c r="CL14" s="5"/>
      <c r="CM14" s="5"/>
      <c r="CN14" s="5"/>
      <c r="CO14" s="5"/>
      <c r="CP14" s="18"/>
      <c r="CR14" s="40"/>
      <c r="CS14" s="41"/>
      <c r="CT14" s="5"/>
      <c r="CU14" s="5"/>
      <c r="CV14" s="5"/>
      <c r="CW14" s="5"/>
    </row>
    <row r="15" spans="1:101">
      <c r="A15" s="5">
        <f>+J14</f>
        <v>100</v>
      </c>
      <c r="C15">
        <v>0.20599999999999999</v>
      </c>
      <c r="D15" s="2">
        <f>AVERAGE(C15:C16)</f>
        <v>0.20549999999999999</v>
      </c>
      <c r="F15">
        <f>+A17</f>
        <v>150</v>
      </c>
      <c r="G15">
        <f>+D17</f>
        <v>0.3105</v>
      </c>
      <c r="I15">
        <v>200</v>
      </c>
      <c r="J15" s="5">
        <f t="shared" si="0"/>
        <v>150</v>
      </c>
      <c r="K15">
        <v>850</v>
      </c>
      <c r="L15">
        <v>150</v>
      </c>
      <c r="M15">
        <f t="shared" si="1"/>
        <v>1000</v>
      </c>
      <c r="N15" s="2">
        <f>+L15/1000*$L$6</f>
        <v>150</v>
      </c>
      <c r="R15" s="5"/>
      <c r="V15" s="2"/>
      <c r="BX15" s="4"/>
      <c r="CK15" s="5"/>
      <c r="CL15" s="5"/>
      <c r="CM15" s="5"/>
      <c r="CN15" s="5"/>
      <c r="CO15" s="5"/>
      <c r="CP15" s="18"/>
      <c r="CR15" s="40"/>
      <c r="CS15" s="41"/>
      <c r="CT15" s="5"/>
      <c r="CU15" s="5"/>
      <c r="CV15" s="5"/>
      <c r="CW15" s="5"/>
    </row>
    <row r="16" spans="1:101">
      <c r="C16">
        <v>0.20499999999999999</v>
      </c>
      <c r="F16">
        <f>+A19</f>
        <v>200</v>
      </c>
      <c r="G16">
        <f>+D19</f>
        <v>0.39900000000000002</v>
      </c>
      <c r="I16">
        <v>5</v>
      </c>
      <c r="J16" s="5">
        <f t="shared" si="0"/>
        <v>200</v>
      </c>
      <c r="K16">
        <v>800</v>
      </c>
      <c r="L16">
        <v>200</v>
      </c>
      <c r="M16">
        <f t="shared" si="1"/>
        <v>1000</v>
      </c>
      <c r="N16" s="2">
        <f>+L16/1000*$L$6</f>
        <v>200</v>
      </c>
      <c r="R16" s="5"/>
      <c r="BX16" s="4"/>
      <c r="CK16" s="5"/>
      <c r="CL16" s="5"/>
      <c r="CM16" s="5"/>
      <c r="CN16" s="5"/>
      <c r="CO16" s="5"/>
      <c r="CP16" s="18"/>
      <c r="CR16" s="40"/>
      <c r="CS16" s="41"/>
      <c r="CT16" s="5"/>
      <c r="CU16" s="5"/>
      <c r="CV16" s="5"/>
      <c r="CW16" s="5"/>
    </row>
    <row r="17" spans="1:101">
      <c r="A17" s="5">
        <f>+J15</f>
        <v>150</v>
      </c>
      <c r="C17">
        <v>0.311</v>
      </c>
      <c r="D17" s="2">
        <f>AVERAGE(C17:C18)</f>
        <v>0.3105</v>
      </c>
      <c r="BW17">
        <f>2.6/1.32</f>
        <v>1.9696969696969697</v>
      </c>
      <c r="BX17" s="4"/>
      <c r="CK17" s="5"/>
      <c r="CL17" s="5"/>
      <c r="CM17" s="5"/>
      <c r="CN17" s="5"/>
      <c r="CO17" s="5"/>
      <c r="CP17" s="18"/>
      <c r="CR17" s="40"/>
      <c r="CS17" s="41"/>
      <c r="CT17" s="5"/>
      <c r="CU17" s="5"/>
      <c r="CV17" s="5"/>
      <c r="CW17" s="5"/>
    </row>
    <row r="18" spans="1:101">
      <c r="C18">
        <v>0.31</v>
      </c>
      <c r="BX18" s="4"/>
      <c r="CK18" s="5"/>
      <c r="CL18" s="5"/>
      <c r="CM18" s="5"/>
      <c r="CN18" s="5"/>
      <c r="CO18" s="5"/>
      <c r="CP18" s="18"/>
      <c r="CR18" s="40"/>
      <c r="CS18" s="41"/>
      <c r="CT18" s="5"/>
      <c r="CU18" s="5"/>
      <c r="CV18" s="5"/>
      <c r="CW18" s="5"/>
    </row>
    <row r="19" spans="1:101">
      <c r="A19" s="5">
        <f>+J16</f>
        <v>200</v>
      </c>
      <c r="C19">
        <v>0.4</v>
      </c>
      <c r="D19" s="2">
        <f>AVERAGE(C19:C20)</f>
        <v>0.39900000000000002</v>
      </c>
      <c r="Q19" s="8"/>
      <c r="R19" s="8"/>
      <c r="S19" s="8"/>
      <c r="T19" s="8"/>
      <c r="V19" s="9"/>
      <c r="BX19" s="4"/>
    </row>
    <row r="20" spans="1:101" ht="15.75" thickBot="1">
      <c r="C20">
        <v>0.39800000000000002</v>
      </c>
      <c r="S20" s="10"/>
      <c r="T20" s="10"/>
      <c r="V20" s="9"/>
      <c r="BX20" s="4"/>
    </row>
    <row r="21" spans="1:101">
      <c r="A21" s="32" t="s">
        <v>37</v>
      </c>
      <c r="B21" s="25">
        <f>14+4</f>
        <v>18</v>
      </c>
      <c r="C21" s="26" t="s">
        <v>38</v>
      </c>
      <c r="R21" s="5"/>
      <c r="V21" s="2"/>
      <c r="BX21" s="4"/>
    </row>
    <row r="22" spans="1:101">
      <c r="A22" s="27"/>
      <c r="B22" s="21">
        <v>1</v>
      </c>
      <c r="C22" s="28" t="s">
        <v>23</v>
      </c>
      <c r="R22" s="5"/>
      <c r="V22" s="2"/>
      <c r="BX22" s="4"/>
    </row>
    <row r="23" spans="1:101">
      <c r="A23" s="27"/>
      <c r="B23" s="38">
        <f>+B21*B22</f>
        <v>18</v>
      </c>
      <c r="C23" s="29" t="s">
        <v>39</v>
      </c>
      <c r="R23" s="5"/>
      <c r="V23" s="2"/>
      <c r="BX23" s="4"/>
      <c r="CC23" s="7"/>
      <c r="CF23" s="6"/>
    </row>
    <row r="24" spans="1:101">
      <c r="A24" s="27"/>
      <c r="B24" s="21">
        <v>10</v>
      </c>
      <c r="C24" s="28" t="s">
        <v>39</v>
      </c>
      <c r="R24" s="5"/>
      <c r="V24" s="2"/>
      <c r="BX24" s="4"/>
      <c r="CC24" s="7"/>
      <c r="CF24" s="6"/>
    </row>
    <row r="25" spans="1:101" ht="15.75" thickBot="1">
      <c r="A25" s="30"/>
      <c r="B25" s="37">
        <f>+B24/B21</f>
        <v>0.55555555555555558</v>
      </c>
      <c r="C25" s="31" t="s">
        <v>23</v>
      </c>
      <c r="R25" s="5"/>
      <c r="V25" s="2"/>
      <c r="BX25" s="4"/>
      <c r="CC25" s="7"/>
      <c r="CF25" s="6"/>
    </row>
    <row r="26" spans="1:101">
      <c r="R26" s="5"/>
      <c r="V26" s="2"/>
      <c r="BX26" s="4"/>
      <c r="CC26" s="7"/>
      <c r="CF26" s="6"/>
    </row>
    <row r="27" spans="1:101">
      <c r="A27" t="s">
        <v>19</v>
      </c>
      <c r="BX27" s="4"/>
      <c r="CC27" s="7"/>
      <c r="CF27" s="6"/>
    </row>
    <row r="28" spans="1:101">
      <c r="A28" t="s">
        <v>18</v>
      </c>
      <c r="B28">
        <v>497.71</v>
      </c>
      <c r="BX28" s="4"/>
      <c r="CC28" s="7"/>
      <c r="CF28" s="6"/>
    </row>
    <row r="29" spans="1:101">
      <c r="A29" t="s">
        <v>20</v>
      </c>
      <c r="B29">
        <v>-1.726</v>
      </c>
      <c r="BX29" s="4"/>
      <c r="CC29" s="7"/>
      <c r="CF29" s="6"/>
    </row>
    <row r="30" spans="1:101">
      <c r="BX30" s="4"/>
      <c r="CC30" s="7"/>
      <c r="CF30" s="6"/>
    </row>
    <row r="31" spans="1:101">
      <c r="BX31" s="4"/>
      <c r="CC31" s="7"/>
      <c r="CF31" s="6"/>
    </row>
    <row r="32" spans="1:101">
      <c r="R32">
        <v>0</v>
      </c>
      <c r="BX32" s="4"/>
      <c r="CC32" s="7"/>
      <c r="CF32" s="6"/>
    </row>
    <row r="35" spans="1:126">
      <c r="A35" t="s">
        <v>8</v>
      </c>
    </row>
    <row r="36" spans="1:126">
      <c r="A36" t="s">
        <v>7</v>
      </c>
      <c r="B36" t="s">
        <v>6</v>
      </c>
      <c r="D36" s="10" t="s">
        <v>30</v>
      </c>
      <c r="E36" s="8" t="s">
        <v>25</v>
      </c>
      <c r="F36" s="10" t="s">
        <v>23</v>
      </c>
      <c r="G36" s="8" t="s">
        <v>39</v>
      </c>
      <c r="H36" s="8" t="s">
        <v>31</v>
      </c>
      <c r="I36" s="8" t="s">
        <v>32</v>
      </c>
      <c r="J36" s="10" t="s">
        <v>30</v>
      </c>
      <c r="K36" s="8" t="s">
        <v>40</v>
      </c>
    </row>
    <row r="37" spans="1:126">
      <c r="A37">
        <v>1</v>
      </c>
      <c r="B37">
        <v>0.88900000000000001</v>
      </c>
      <c r="C37">
        <f>AVERAGE(B37:B38)</f>
        <v>0.88850000000000007</v>
      </c>
      <c r="D37" s="7">
        <f>+$B$28*C37+$B$29</f>
        <v>440.48933500000004</v>
      </c>
      <c r="E37">
        <v>1</v>
      </c>
      <c r="F37" s="3">
        <f>+E37*D37/1000</f>
        <v>0.44048933500000004</v>
      </c>
      <c r="G37" s="39">
        <f>+F37*$B$21</f>
        <v>7.9288080300000008</v>
      </c>
      <c r="H37" s="46" t="s">
        <v>110</v>
      </c>
      <c r="I37" s="4" t="s">
        <v>113</v>
      </c>
      <c r="J37" s="7">
        <f>+F37*1000</f>
        <v>440.48933500000004</v>
      </c>
      <c r="AQ37" s="6"/>
      <c r="BQ37" s="2"/>
      <c r="BR37" s="6"/>
      <c r="BS37" s="6"/>
      <c r="BW37" s="5"/>
    </row>
    <row r="38" spans="1:126" ht="18.75">
      <c r="A38">
        <v>1</v>
      </c>
      <c r="B38">
        <v>0.88800000000000001</v>
      </c>
      <c r="D38" s="7"/>
      <c r="F38" s="3"/>
      <c r="G38" s="39"/>
      <c r="H38" s="34"/>
      <c r="I38" s="4"/>
      <c r="J38" s="7"/>
      <c r="AL38" t="s">
        <v>79</v>
      </c>
      <c r="AQ38" s="6"/>
      <c r="AV38" s="67" t="s">
        <v>87</v>
      </c>
      <c r="AW38" s="67"/>
      <c r="AX38" s="67"/>
      <c r="AY38" s="67" t="s">
        <v>86</v>
      </c>
      <c r="BQ38" s="2"/>
      <c r="BR38" s="6"/>
      <c r="BS38" s="6"/>
    </row>
    <row r="39" spans="1:126">
      <c r="A39">
        <v>2</v>
      </c>
      <c r="B39">
        <v>0.54900000000000004</v>
      </c>
      <c r="C39">
        <f>AVERAGE(B39:B40)</f>
        <v>0.54900000000000004</v>
      </c>
      <c r="D39" s="7">
        <f>+$B$28*C39+$B$29</f>
        <v>271.51679000000001</v>
      </c>
      <c r="E39">
        <v>1</v>
      </c>
      <c r="F39" s="3">
        <f>+E39*D39/1000</f>
        <v>0.27151679000000001</v>
      </c>
      <c r="G39" s="39">
        <f>+F39*$B$21</f>
        <v>4.8873022200000005</v>
      </c>
      <c r="H39" s="46" t="s">
        <v>111</v>
      </c>
      <c r="I39" s="4">
        <v>40514</v>
      </c>
      <c r="J39" s="7">
        <f>+F39*1000</f>
        <v>271.51679000000001</v>
      </c>
      <c r="AL39" t="s">
        <v>82</v>
      </c>
      <c r="AQ39" s="6"/>
      <c r="AV39" s="67">
        <f>+LN(2)/AY39</f>
        <v>7.5342084843472312</v>
      </c>
      <c r="AW39" s="67"/>
      <c r="AX39" s="67">
        <v>27.050999999999998</v>
      </c>
      <c r="AY39" s="67">
        <v>9.1999999999999998E-2</v>
      </c>
      <c r="BQ39" s="2"/>
      <c r="BR39" s="6"/>
      <c r="BS39" s="6"/>
    </row>
    <row r="40" spans="1:126" ht="18.75">
      <c r="A40">
        <v>2</v>
      </c>
      <c r="B40">
        <v>0.54900000000000004</v>
      </c>
      <c r="D40" s="7"/>
      <c r="F40" s="19"/>
      <c r="G40" s="39"/>
      <c r="H40" s="34"/>
      <c r="I40" s="4"/>
      <c r="J40" s="7"/>
      <c r="AL40" t="s">
        <v>101</v>
      </c>
      <c r="AV40" s="67">
        <f>+LN(2)/AY40</f>
        <v>9.0019114358434447</v>
      </c>
      <c r="AW40" s="67"/>
      <c r="AX40" s="67"/>
      <c r="AY40" s="67">
        <v>7.6999999999999999E-2</v>
      </c>
    </row>
    <row r="41" spans="1:126">
      <c r="A41">
        <v>3</v>
      </c>
      <c r="B41">
        <v>0.189</v>
      </c>
      <c r="C41">
        <f>AVERAGE(B41:B42)</f>
        <v>0.189</v>
      </c>
      <c r="D41" s="7">
        <f>+$B$28*C41+$B$29</f>
        <v>92.341189999999997</v>
      </c>
      <c r="E41">
        <v>1</v>
      </c>
      <c r="F41" s="3">
        <f>+E41*D41/1000</f>
        <v>9.2341190000000004E-2</v>
      </c>
      <c r="G41" s="39">
        <f>+F41*$B$21</f>
        <v>1.66214142</v>
      </c>
      <c r="H41" s="47" t="s">
        <v>112</v>
      </c>
      <c r="I41" s="4">
        <v>40515</v>
      </c>
      <c r="J41" s="7">
        <f>+F41*1000</f>
        <v>92.341189999999997</v>
      </c>
      <c r="K41" t="s">
        <v>75</v>
      </c>
      <c r="L41">
        <f>1000/50</f>
        <v>20</v>
      </c>
      <c r="AL41" t="s">
        <v>84</v>
      </c>
    </row>
    <row r="42" spans="1:126" ht="18.75">
      <c r="A42">
        <v>3</v>
      </c>
      <c r="B42">
        <v>0.189</v>
      </c>
      <c r="D42" s="7"/>
      <c r="F42" s="19"/>
      <c r="G42" s="39"/>
      <c r="H42" s="34"/>
      <c r="I42" s="4"/>
      <c r="J42" s="7"/>
      <c r="Y42">
        <f>15*30</f>
        <v>450</v>
      </c>
      <c r="AL42" t="s">
        <v>103</v>
      </c>
    </row>
    <row r="43" spans="1:126">
      <c r="A43">
        <v>4</v>
      </c>
      <c r="B43">
        <v>0.17299999999999999</v>
      </c>
      <c r="C43">
        <f>AVERAGE(B43:B44)</f>
        <v>0.17349999999999999</v>
      </c>
      <c r="D43" s="7"/>
      <c r="F43" s="3"/>
      <c r="G43" s="39"/>
      <c r="H43" s="46"/>
      <c r="I43" s="4"/>
      <c r="J43" s="7"/>
      <c r="Y43">
        <f>15*40</f>
        <v>600</v>
      </c>
      <c r="AL43" t="s">
        <v>83</v>
      </c>
      <c r="CS43">
        <f>14+16*3</f>
        <v>62</v>
      </c>
    </row>
    <row r="44" spans="1:126">
      <c r="A44">
        <v>4</v>
      </c>
      <c r="B44">
        <v>0.17399999999999999</v>
      </c>
      <c r="D44" s="7"/>
      <c r="F44" s="19"/>
      <c r="G44" s="39"/>
      <c r="H44" s="33"/>
      <c r="I44" s="4"/>
      <c r="AL44" t="s">
        <v>85</v>
      </c>
      <c r="BM44" s="75" t="s">
        <v>116</v>
      </c>
      <c r="BP44" s="75" t="s">
        <v>116</v>
      </c>
      <c r="BW44" t="s">
        <v>118</v>
      </c>
      <c r="CZ44" s="16"/>
      <c r="DA44" s="16"/>
      <c r="DB44" s="16"/>
    </row>
    <row r="45" spans="1:126">
      <c r="A45">
        <v>5</v>
      </c>
      <c r="B45">
        <v>0.32200000000000001</v>
      </c>
      <c r="C45">
        <f>AVERAGE(B45:B46)</f>
        <v>0.32300000000000001</v>
      </c>
      <c r="D45" s="7"/>
      <c r="F45" s="3"/>
      <c r="G45" s="39"/>
      <c r="H45" s="35"/>
      <c r="I45" s="4"/>
      <c r="J45" s="7"/>
      <c r="M45" s="58"/>
      <c r="N45" s="58"/>
      <c r="O45" s="58"/>
      <c r="P45" s="58"/>
      <c r="Q45" s="58"/>
      <c r="R45" s="58"/>
      <c r="S45" s="58"/>
      <c r="T45" s="59" t="s">
        <v>77</v>
      </c>
      <c r="U45" s="58"/>
      <c r="V45" s="58"/>
      <c r="W45" s="58" t="s">
        <v>23</v>
      </c>
      <c r="X45" s="59"/>
      <c r="Y45" s="58" t="s">
        <v>26</v>
      </c>
      <c r="Z45" s="58" t="s">
        <v>26</v>
      </c>
      <c r="AA45" s="58"/>
      <c r="AB45" s="58"/>
      <c r="AC45" s="78"/>
      <c r="AD45" s="58" t="s">
        <v>127</v>
      </c>
      <c r="AE45" s="58" t="s">
        <v>105</v>
      </c>
      <c r="AF45" s="58" t="s">
        <v>105</v>
      </c>
      <c r="AG45" s="58" t="s">
        <v>102</v>
      </c>
      <c r="AH45" s="58"/>
      <c r="AI45" s="58"/>
      <c r="AJ45" s="58"/>
      <c r="AK45" s="58"/>
      <c r="AP45" s="61"/>
      <c r="AQ45" s="61"/>
      <c r="AR45" s="61"/>
      <c r="AS45" s="61"/>
      <c r="AT45" s="61"/>
      <c r="AU45" s="62" t="s">
        <v>76</v>
      </c>
      <c r="AV45" s="61"/>
      <c r="AW45" s="61"/>
      <c r="AX45" s="61"/>
      <c r="AY45" s="61"/>
      <c r="AZ45" s="61"/>
      <c r="BA45" s="61"/>
      <c r="BB45" s="61"/>
      <c r="BI45" s="67"/>
      <c r="BJ45" s="67"/>
      <c r="BK45" s="67" t="s">
        <v>95</v>
      </c>
      <c r="BL45" s="67"/>
      <c r="BM45" s="67"/>
      <c r="BN45" s="67"/>
      <c r="BO45" s="67"/>
      <c r="BP45" s="68" t="s">
        <v>77</v>
      </c>
      <c r="BQ45" s="67"/>
      <c r="BR45" s="67"/>
      <c r="BS45" s="67"/>
      <c r="BT45" s="67"/>
      <c r="BU45" s="67" t="s">
        <v>117</v>
      </c>
      <c r="BV45" s="68"/>
      <c r="BW45" s="67"/>
      <c r="BX45" s="67" t="s">
        <v>26</v>
      </c>
      <c r="BY45" s="67"/>
      <c r="BZ45" s="67"/>
      <c r="CA45" s="67"/>
      <c r="CB45" s="67"/>
      <c r="CC45" s="67"/>
      <c r="CD45" s="115" t="s">
        <v>141</v>
      </c>
      <c r="CE45" s="115"/>
      <c r="CF45" s="115"/>
      <c r="CG45" s="115"/>
      <c r="CH45" s="115"/>
      <c r="CI45" s="115"/>
      <c r="CJ45" s="115"/>
      <c r="CK45" s="115"/>
      <c r="CL45" s="115"/>
      <c r="CM45" s="115"/>
      <c r="CN45" s="115"/>
      <c r="CP45" s="61"/>
      <c r="CQ45" s="61" t="s">
        <v>98</v>
      </c>
      <c r="CR45" s="61"/>
      <c r="CS45" s="61" t="s">
        <v>100</v>
      </c>
      <c r="CT45" s="61"/>
      <c r="CU45" s="61"/>
      <c r="CV45" s="61"/>
      <c r="CW45" s="61"/>
      <c r="CX45" s="61" t="s">
        <v>167</v>
      </c>
      <c r="CY45" s="61" t="s">
        <v>121</v>
      </c>
      <c r="CZ45" s="16"/>
      <c r="DA45" s="16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</row>
    <row r="46" spans="1:126" ht="15.75" thickBot="1">
      <c r="A46">
        <v>5</v>
      </c>
      <c r="B46">
        <v>0.32400000000000001</v>
      </c>
      <c r="D46" s="7"/>
      <c r="F46" s="19"/>
      <c r="G46" s="39"/>
      <c r="H46" s="35"/>
      <c r="I46" s="4"/>
      <c r="J46" s="7"/>
      <c r="K46" t="s">
        <v>132</v>
      </c>
      <c r="M46" s="58" t="s">
        <v>131</v>
      </c>
      <c r="N46" s="58"/>
      <c r="O46" s="58"/>
      <c r="P46" s="58" t="s">
        <v>92</v>
      </c>
      <c r="Q46" s="58"/>
      <c r="R46" s="58"/>
      <c r="S46" s="58"/>
      <c r="T46" s="58" t="s">
        <v>93</v>
      </c>
      <c r="U46" s="58"/>
      <c r="V46" s="58"/>
      <c r="W46" s="58" t="s">
        <v>90</v>
      </c>
      <c r="X46" s="58" t="s">
        <v>120</v>
      </c>
      <c r="Y46" s="58" t="s">
        <v>121</v>
      </c>
      <c r="Z46" s="58" t="s">
        <v>122</v>
      </c>
      <c r="AA46" s="58" t="s">
        <v>123</v>
      </c>
      <c r="AB46" s="58" t="s">
        <v>125</v>
      </c>
      <c r="AC46" s="79"/>
      <c r="AD46" s="58" t="s">
        <v>80</v>
      </c>
      <c r="AE46" s="58" t="s">
        <v>62</v>
      </c>
      <c r="AF46" s="58" t="s">
        <v>107</v>
      </c>
      <c r="AG46" s="58" t="s">
        <v>94</v>
      </c>
      <c r="AH46" s="58" t="s">
        <v>104</v>
      </c>
      <c r="AI46" s="58" t="s">
        <v>104</v>
      </c>
      <c r="AJ46" s="58" t="s">
        <v>135</v>
      </c>
      <c r="AK46" s="58" t="s">
        <v>139</v>
      </c>
      <c r="AO46" s="46"/>
      <c r="AP46" s="63"/>
      <c r="AQ46" s="63"/>
      <c r="AR46" s="63"/>
      <c r="AS46" s="63"/>
      <c r="AT46" s="63" t="s">
        <v>64</v>
      </c>
      <c r="AU46" s="63"/>
      <c r="AV46" s="63"/>
      <c r="AW46" s="63"/>
      <c r="AX46" s="61" t="s">
        <v>69</v>
      </c>
      <c r="AY46" s="61"/>
      <c r="AZ46" s="61" t="s">
        <v>70</v>
      </c>
      <c r="BA46" s="61" t="s">
        <v>72</v>
      </c>
      <c r="BB46" s="61" t="s">
        <v>73</v>
      </c>
      <c r="BI46" s="67" t="s">
        <v>97</v>
      </c>
      <c r="BJ46" s="67"/>
      <c r="BK46" s="67"/>
      <c r="BL46" s="67"/>
      <c r="BM46" s="67" t="s">
        <v>119</v>
      </c>
      <c r="BN46" s="67"/>
      <c r="BO46" s="67"/>
      <c r="BP46" s="67" t="s">
        <v>109</v>
      </c>
      <c r="BQ46" s="67"/>
      <c r="BR46" s="67"/>
      <c r="BS46" s="67"/>
      <c r="BT46" s="67"/>
      <c r="BU46" s="67" t="s">
        <v>96</v>
      </c>
      <c r="BV46" s="67" t="s">
        <v>120</v>
      </c>
      <c r="BW46" s="67" t="s">
        <v>121</v>
      </c>
      <c r="BX46" s="67" t="s">
        <v>122</v>
      </c>
      <c r="BY46" s="67" t="s">
        <v>123</v>
      </c>
      <c r="BZ46" s="67"/>
      <c r="CA46" s="67" t="s">
        <v>136</v>
      </c>
      <c r="CB46" s="67" t="s">
        <v>139</v>
      </c>
      <c r="CC46" s="67"/>
      <c r="CD46" s="115" t="s">
        <v>143</v>
      </c>
      <c r="CE46" s="115"/>
      <c r="CF46" s="115"/>
      <c r="CG46" s="115" t="s">
        <v>144</v>
      </c>
      <c r="CH46" s="115"/>
      <c r="CI46" s="115"/>
      <c r="CJ46" s="115"/>
      <c r="CK46" s="115" t="s">
        <v>149</v>
      </c>
      <c r="CL46" s="115"/>
      <c r="CM46" s="115"/>
      <c r="CN46" s="115"/>
      <c r="CP46" s="61"/>
      <c r="CQ46" s="61" t="s">
        <v>97</v>
      </c>
      <c r="CR46" s="61"/>
      <c r="CS46" s="61"/>
      <c r="CT46" s="61"/>
      <c r="CU46" s="61"/>
      <c r="CV46" s="61"/>
      <c r="CW46" s="61"/>
      <c r="CX46" s="61" t="s">
        <v>115</v>
      </c>
      <c r="CY46" s="61" t="s">
        <v>99</v>
      </c>
      <c r="CZ46" s="16"/>
      <c r="DA46" s="16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</row>
    <row r="47" spans="1:126" ht="15.75" thickBot="1">
      <c r="A47">
        <v>6</v>
      </c>
      <c r="B47">
        <v>8.3000000000000004E-2</v>
      </c>
      <c r="C47">
        <f>AVERAGE(B47:B48)</f>
        <v>8.2500000000000004E-2</v>
      </c>
      <c r="D47" s="7"/>
      <c r="F47" s="3"/>
      <c r="G47" s="39"/>
      <c r="H47" s="35"/>
      <c r="I47" s="4"/>
      <c r="J47" s="7"/>
      <c r="M47" s="58"/>
      <c r="N47" s="64" t="s">
        <v>33</v>
      </c>
      <c r="O47" s="65" t="s">
        <v>35</v>
      </c>
      <c r="P47" s="65" t="s">
        <v>30</v>
      </c>
      <c r="Q47" s="65" t="s">
        <v>34</v>
      </c>
      <c r="R47" s="66" t="s">
        <v>36</v>
      </c>
      <c r="S47" s="60" t="s">
        <v>23</v>
      </c>
      <c r="T47" s="58" t="s">
        <v>39</v>
      </c>
      <c r="U47" s="58" t="s">
        <v>88</v>
      </c>
      <c r="V47" s="58" t="s">
        <v>60</v>
      </c>
      <c r="W47" s="58" t="s">
        <v>78</v>
      </c>
      <c r="X47" s="58" t="s">
        <v>26</v>
      </c>
      <c r="Y47" s="58" t="s">
        <v>108</v>
      </c>
      <c r="Z47" s="58" t="s">
        <v>104</v>
      </c>
      <c r="AA47" s="58" t="s">
        <v>124</v>
      </c>
      <c r="AB47" s="58" t="s">
        <v>126</v>
      </c>
      <c r="AC47" s="79" t="s">
        <v>61</v>
      </c>
      <c r="AD47" s="58" t="s">
        <v>81</v>
      </c>
      <c r="AE47" s="58" t="s">
        <v>106</v>
      </c>
      <c r="AF47" s="58" t="s">
        <v>108</v>
      </c>
      <c r="AG47" s="65" t="s">
        <v>30</v>
      </c>
      <c r="AH47" s="58" t="s">
        <v>26</v>
      </c>
      <c r="AI47" s="65" t="s">
        <v>30</v>
      </c>
      <c r="AJ47" s="60" t="s">
        <v>26</v>
      </c>
      <c r="AK47" s="60" t="s">
        <v>26</v>
      </c>
      <c r="AP47" s="61" t="s">
        <v>35</v>
      </c>
      <c r="AQ47" s="61" t="s">
        <v>63</v>
      </c>
      <c r="AR47" s="61" t="s">
        <v>65</v>
      </c>
      <c r="AS47" s="61" t="s">
        <v>66</v>
      </c>
      <c r="AT47" s="61" t="s">
        <v>35</v>
      </c>
      <c r="AU47" s="61" t="s">
        <v>63</v>
      </c>
      <c r="AV47" s="61" t="s">
        <v>67</v>
      </c>
      <c r="AW47" s="61" t="s">
        <v>68</v>
      </c>
      <c r="AX47" s="61" t="s">
        <v>67</v>
      </c>
      <c r="AY47" s="61" t="s">
        <v>68</v>
      </c>
      <c r="AZ47" s="61" t="s">
        <v>71</v>
      </c>
      <c r="BA47" s="61"/>
      <c r="BB47" s="61"/>
      <c r="BI47" s="67" t="s">
        <v>23</v>
      </c>
      <c r="BJ47" s="67" t="s">
        <v>39</v>
      </c>
      <c r="BK47" s="92" t="s">
        <v>33</v>
      </c>
      <c r="BL47" s="93" t="s">
        <v>35</v>
      </c>
      <c r="BM47" s="93" t="s">
        <v>30</v>
      </c>
      <c r="BN47" s="70" t="s">
        <v>34</v>
      </c>
      <c r="BO47" s="71" t="s">
        <v>36</v>
      </c>
      <c r="BP47" s="67" t="s">
        <v>39</v>
      </c>
      <c r="BQ47" s="67" t="s">
        <v>88</v>
      </c>
      <c r="BR47" s="69" t="s">
        <v>129</v>
      </c>
      <c r="BS47" s="69" t="s">
        <v>89</v>
      </c>
      <c r="BT47" s="67" t="s">
        <v>60</v>
      </c>
      <c r="BU47" s="67" t="s">
        <v>91</v>
      </c>
      <c r="BV47" s="67" t="s">
        <v>26</v>
      </c>
      <c r="BW47" s="67" t="s">
        <v>108</v>
      </c>
      <c r="BX47" s="67" t="s">
        <v>104</v>
      </c>
      <c r="BY47" s="67" t="s">
        <v>124</v>
      </c>
      <c r="BZ47" s="70"/>
      <c r="CA47" s="67" t="s">
        <v>26</v>
      </c>
      <c r="CB47" s="70" t="s">
        <v>26</v>
      </c>
      <c r="CC47" s="67" t="s">
        <v>140</v>
      </c>
      <c r="CD47" s="116" t="s">
        <v>142</v>
      </c>
      <c r="CE47" s="116" t="s">
        <v>26</v>
      </c>
      <c r="CF47" s="115" t="s">
        <v>146</v>
      </c>
      <c r="CG47" s="116" t="s">
        <v>145</v>
      </c>
      <c r="CH47" s="116" t="s">
        <v>26</v>
      </c>
      <c r="CI47" s="115" t="s">
        <v>146</v>
      </c>
      <c r="CJ47" s="115" t="s">
        <v>147</v>
      </c>
      <c r="CK47" s="115" t="s">
        <v>148</v>
      </c>
      <c r="CL47" s="115"/>
      <c r="CM47" s="115"/>
      <c r="CN47" s="115"/>
      <c r="CP47" s="61"/>
      <c r="CQ47" s="61" t="s">
        <v>23</v>
      </c>
      <c r="CR47" s="61" t="s">
        <v>39</v>
      </c>
      <c r="CS47" s="61" t="s">
        <v>33</v>
      </c>
      <c r="CT47" s="61" t="s">
        <v>35</v>
      </c>
      <c r="CU47" s="61" t="s">
        <v>30</v>
      </c>
      <c r="CV47" s="61" t="s">
        <v>34</v>
      </c>
      <c r="CW47" s="61" t="s">
        <v>36</v>
      </c>
      <c r="CX47" s="61" t="s">
        <v>114</v>
      </c>
      <c r="CY47" s="61" t="s">
        <v>26</v>
      </c>
      <c r="CZ47" s="16"/>
      <c r="DA47" s="16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</row>
    <row r="48" spans="1:126">
      <c r="A48">
        <v>6</v>
      </c>
      <c r="B48">
        <v>8.2000000000000003E-2</v>
      </c>
      <c r="D48" s="7"/>
      <c r="F48" s="19"/>
      <c r="G48" s="39"/>
      <c r="H48" s="35"/>
      <c r="I48" s="4"/>
      <c r="J48" s="5"/>
      <c r="L48" s="107">
        <v>40638</v>
      </c>
      <c r="M48" s="76">
        <v>25.132999999999999</v>
      </c>
      <c r="N48" s="104">
        <v>40636</v>
      </c>
      <c r="O48" s="4">
        <v>40637</v>
      </c>
      <c r="P48" s="76">
        <v>25.132999999999999</v>
      </c>
      <c r="Q48" s="17">
        <v>0</v>
      </c>
      <c r="R48" s="21">
        <f>+Q48</f>
        <v>0</v>
      </c>
      <c r="S48" s="39">
        <f t="shared" ref="S48:S79" si="2">+P48/1000</f>
        <v>2.5132999999999999E-2</v>
      </c>
      <c r="T48" s="5">
        <f t="shared" ref="T48:T79" si="3">18*P48/1000</f>
        <v>0.45239400000000002</v>
      </c>
      <c r="U48" s="7" t="e">
        <f t="shared" ref="U48:U79" si="4">+VLOOKUP(O48,$AP$48:$AZ$195,9)</f>
        <v>#N/A</v>
      </c>
      <c r="V48">
        <v>3.2</v>
      </c>
      <c r="W48" s="77">
        <v>2</v>
      </c>
      <c r="X48" s="5">
        <f>+R48*W48/1000</f>
        <v>0</v>
      </c>
      <c r="Y48" s="6" t="e">
        <f>+U48*#REF!/1000000</f>
        <v>#N/A</v>
      </c>
      <c r="Z48" s="5" t="e">
        <f>+X48-Y48</f>
        <v>#N/A</v>
      </c>
      <c r="AA48" s="5" t="e">
        <f t="shared" ref="AA48:AA79" si="5">+Z48/V48</f>
        <v>#N/A</v>
      </c>
      <c r="AB48" s="5">
        <v>0</v>
      </c>
      <c r="AC48" s="80" t="e">
        <f>+W48*Z48/1000</f>
        <v>#N/A</v>
      </c>
      <c r="AD48" s="5">
        <f>+P48/1000</f>
        <v>2.5132999999999999E-2</v>
      </c>
      <c r="AE48" s="5">
        <f>+V48*AD48</f>
        <v>8.04256E-2</v>
      </c>
      <c r="AF48">
        <v>0</v>
      </c>
      <c r="AG48" s="7">
        <f t="shared" ref="AG48:AG79" si="6">+AD48*1000</f>
        <v>25.132999999999999</v>
      </c>
      <c r="AL48" s="7"/>
      <c r="AM48" s="7"/>
      <c r="AO48" s="18"/>
      <c r="AP48" s="12">
        <v>40638</v>
      </c>
      <c r="AQ48" s="36">
        <v>0.89583333333333337</v>
      </c>
      <c r="AR48">
        <v>5000</v>
      </c>
      <c r="AT48" s="4">
        <v>40639</v>
      </c>
      <c r="AU48" s="36">
        <v>0.39583333333333331</v>
      </c>
      <c r="AV48">
        <v>4700</v>
      </c>
      <c r="AX48" s="45">
        <f t="shared" ref="AX48:AX79" si="7">+(AR48-AV48)/BB48*24</f>
        <v>600</v>
      </c>
      <c r="AY48" s="45">
        <f t="shared" ref="AY48:AY79" si="8">+(AS48-AW48)/BB48*24</f>
        <v>0</v>
      </c>
      <c r="AZ48" s="7">
        <f t="shared" ref="AZ48:AZ79" si="9">+AY48+AX48</f>
        <v>600</v>
      </c>
      <c r="BA48" s="18">
        <f t="shared" ref="BA48:BA79" si="10">+AT48-AP48</f>
        <v>1</v>
      </c>
      <c r="BB48" s="6">
        <f t="shared" ref="BB48:BB79" si="11">IF(BA48=0,+BA48*24+HOUR(AU48-AQ48)+MINUTE(AU48-AQ48)/60,+HOUR(AU48)+MINUTE(AU48)/60+BA48*24-HOUR(AQ48)-MINUTE(AQ48)/60)</f>
        <v>12</v>
      </c>
      <c r="BI48" s="91"/>
      <c r="BJ48" s="95">
        <v>0.41399999999999998</v>
      </c>
      <c r="BK48" s="96">
        <v>40638</v>
      </c>
      <c r="BL48" s="97">
        <v>40638</v>
      </c>
      <c r="BM48" s="98">
        <f t="shared" ref="BM48:BM79" si="12">+BP48/46*1000</f>
        <v>0</v>
      </c>
      <c r="BN48" s="24">
        <v>1</v>
      </c>
      <c r="BO48" s="21">
        <f>+BN48</f>
        <v>1</v>
      </c>
      <c r="BP48">
        <v>0</v>
      </c>
      <c r="BQ48" s="7">
        <f t="shared" ref="BQ48:BQ60" si="13">+VLOOKUP(BL48,AP47:AZ90,9)</f>
        <v>600</v>
      </c>
      <c r="BS48" s="7">
        <f t="shared" ref="BS48:BS60" si="14">+VLOOKUP(BL48,AP47:BA90,11)</f>
        <v>600</v>
      </c>
      <c r="BT48">
        <v>3.2</v>
      </c>
      <c r="BU48">
        <v>2</v>
      </c>
      <c r="BV48" s="5">
        <f t="shared" ref="BV48:BV79" si="15">+BQ48*BU48/1000</f>
        <v>1.2</v>
      </c>
      <c r="BW48" s="6">
        <f t="shared" ref="BW48:BW79" si="16">+BS48*BM48/1000000</f>
        <v>0</v>
      </c>
      <c r="BX48" s="5">
        <f t="shared" ref="BX48:BX79" si="17">+BV48-BW48</f>
        <v>1.2</v>
      </c>
      <c r="BY48" s="5">
        <f t="shared" ref="BY48:BY79" si="18">+BX48/BT48</f>
        <v>0.37499999999999994</v>
      </c>
      <c r="BZ48" s="5">
        <f t="shared" ref="BZ48:BZ79" si="19">+(BU48*BS48-BM48/1000*BS48)/1000/BT48</f>
        <v>0.37499999999999994</v>
      </c>
      <c r="CA48" s="5">
        <f t="shared" ref="CA48:CA79" si="20">+BV48*BN48</f>
        <v>1.2</v>
      </c>
      <c r="CB48" s="7">
        <f>+CA48</f>
        <v>1.2</v>
      </c>
      <c r="CC48" s="7"/>
      <c r="CD48" s="5"/>
      <c r="CE48" s="5"/>
      <c r="CO48" s="51"/>
      <c r="CQ48" s="51"/>
      <c r="CR48" s="6"/>
      <c r="CS48" s="124"/>
      <c r="CT48" s="4"/>
      <c r="CU48" s="7"/>
      <c r="CX48" s="7"/>
      <c r="CZ48" s="16"/>
      <c r="DA48" s="50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V48" s="7"/>
    </row>
    <row r="49" spans="1:130">
      <c r="A49">
        <v>7</v>
      </c>
      <c r="B49">
        <v>0.73499999999999999</v>
      </c>
      <c r="C49">
        <f>AVERAGE(B49:B50)</f>
        <v>0.73599999999999999</v>
      </c>
      <c r="D49" s="7"/>
      <c r="F49" s="3"/>
      <c r="G49" s="39"/>
      <c r="H49" s="35"/>
      <c r="I49" s="4"/>
      <c r="M49" s="76">
        <v>20.933</v>
      </c>
      <c r="N49" s="104">
        <v>40638</v>
      </c>
      <c r="O49" s="4">
        <v>40638</v>
      </c>
      <c r="P49" s="76">
        <v>20.933</v>
      </c>
      <c r="Q49" s="24">
        <f t="shared" ref="Q49:Q80" si="21">+DAY(O49-O48)</f>
        <v>1</v>
      </c>
      <c r="R49" s="114">
        <f t="shared" ref="R49:R80" si="22">+Q49+R48</f>
        <v>1</v>
      </c>
      <c r="S49" s="39">
        <f t="shared" si="2"/>
        <v>2.0933E-2</v>
      </c>
      <c r="T49" s="5">
        <f t="shared" si="3"/>
        <v>0.37679399999999996</v>
      </c>
      <c r="U49" s="7">
        <f t="shared" si="4"/>
        <v>600</v>
      </c>
      <c r="V49">
        <f>+V48</f>
        <v>3.2</v>
      </c>
      <c r="W49" s="77">
        <f>+W48</f>
        <v>2</v>
      </c>
      <c r="X49" s="6">
        <f t="shared" ref="X49:X80" si="23">+U49*W49/1000</f>
        <v>1.2</v>
      </c>
      <c r="Y49" s="6">
        <f t="shared" ref="Y49:Y80" si="24">+U49*P49/1000000</f>
        <v>1.2559799999999999E-2</v>
      </c>
      <c r="Z49" s="5">
        <f>+(X49-Y49)</f>
        <v>1.1874401999999999</v>
      </c>
      <c r="AA49" s="113">
        <f t="shared" si="5"/>
        <v>0.37107506249999994</v>
      </c>
      <c r="AB49" s="5">
        <f t="shared" ref="AB49:AB80" si="25">+(W49-P49/1000)*U49/1000/V49</f>
        <v>0.37107506249999994</v>
      </c>
      <c r="AC49" s="80">
        <f t="shared" ref="AC49:AC80" si="26">+X49</f>
        <v>1.2</v>
      </c>
      <c r="AD49" s="5">
        <f t="shared" ref="AD49:AD80" si="27">+(AE48+AC49)/(V49+U49/1000)</f>
        <v>0.33695410526315789</v>
      </c>
      <c r="AE49" s="5">
        <f t="shared" ref="AE49:AE80" si="28">+V49*P49/1000</f>
        <v>6.6985600000000006E-2</v>
      </c>
      <c r="AF49" s="5">
        <f t="shared" ref="AF49:AF80" si="29">+U49/1000*P49/1000</f>
        <v>1.2559799999999999E-2</v>
      </c>
      <c r="AG49" s="7">
        <f t="shared" si="6"/>
        <v>336.95410526315789</v>
      </c>
      <c r="AH49" s="5">
        <f t="shared" ref="AH49:AH80" si="30">+AC49-AF49</f>
        <v>1.1874401999999999</v>
      </c>
      <c r="AI49" s="7">
        <f t="shared" ref="AI49:AI80" si="31">+AH49*1000/V49</f>
        <v>371.0750625</v>
      </c>
      <c r="AJ49" s="6">
        <f t="shared" ref="AJ49:AJ80" si="32">+Q49*Z49</f>
        <v>1.1874401999999999</v>
      </c>
      <c r="AK49" s="5">
        <f>+AJ49</f>
        <v>1.1874401999999999</v>
      </c>
      <c r="AL49" s="5"/>
      <c r="AM49" s="7"/>
      <c r="AO49" s="18"/>
      <c r="AP49" s="4">
        <f t="shared" ref="AP49:AR53" si="33">+AT48</f>
        <v>40639</v>
      </c>
      <c r="AQ49" s="36">
        <f t="shared" si="33"/>
        <v>0.39583333333333331</v>
      </c>
      <c r="AR49">
        <f t="shared" si="33"/>
        <v>4700</v>
      </c>
      <c r="AT49" s="4">
        <v>40640</v>
      </c>
      <c r="AU49" s="36">
        <v>0.44444444444444442</v>
      </c>
      <c r="AV49">
        <v>4000</v>
      </c>
      <c r="AX49" s="45">
        <f t="shared" si="7"/>
        <v>667.5496688741722</v>
      </c>
      <c r="AY49" s="45">
        <f t="shared" si="8"/>
        <v>0</v>
      </c>
      <c r="AZ49" s="7">
        <f t="shared" si="9"/>
        <v>667.5496688741722</v>
      </c>
      <c r="BA49" s="18">
        <f t="shared" si="10"/>
        <v>1</v>
      </c>
      <c r="BB49" s="6">
        <f t="shared" si="11"/>
        <v>25.166666666666664</v>
      </c>
      <c r="BI49" s="91"/>
      <c r="BJ49" s="27"/>
      <c r="BK49" s="21"/>
      <c r="BL49" s="12">
        <v>40639</v>
      </c>
      <c r="BM49" s="72">
        <f t="shared" si="12"/>
        <v>0</v>
      </c>
      <c r="BN49" s="24">
        <f t="shared" ref="BN49:BN80" si="34">+DAY(BL49-BL48)</f>
        <v>1</v>
      </c>
      <c r="BO49" s="21">
        <f t="shared" ref="BO49:BO80" si="35">+BN49+BO48</f>
        <v>2</v>
      </c>
      <c r="BP49" s="5">
        <v>0</v>
      </c>
      <c r="BQ49" s="7">
        <f t="shared" si="13"/>
        <v>667.5496688741722</v>
      </c>
      <c r="BR49" s="7"/>
      <c r="BS49" s="7">
        <f t="shared" si="14"/>
        <v>667.5496688741722</v>
      </c>
      <c r="BT49">
        <v>3.2</v>
      </c>
      <c r="BU49">
        <v>2</v>
      </c>
      <c r="BV49" s="5">
        <f t="shared" si="15"/>
        <v>1.3350993377483444</v>
      </c>
      <c r="BW49" s="6">
        <f t="shared" si="16"/>
        <v>0</v>
      </c>
      <c r="BX49" s="5">
        <f t="shared" si="17"/>
        <v>1.3350993377483444</v>
      </c>
      <c r="BY49" s="5">
        <f t="shared" si="18"/>
        <v>0.41721854304635764</v>
      </c>
      <c r="BZ49" s="5">
        <f t="shared" si="19"/>
        <v>0.41721854304635764</v>
      </c>
      <c r="CA49" s="5">
        <f t="shared" si="20"/>
        <v>1.3350993377483444</v>
      </c>
      <c r="CB49" s="7">
        <f t="shared" ref="CB49:CB80" si="36">+CA49+CB48</f>
        <v>2.5350993377483446</v>
      </c>
      <c r="CC49" s="5">
        <f t="shared" ref="CC49:CC80" si="37">+CB49/+VLOOKUP(BO49,$R$49:$AK$126,20)</f>
        <v>1.0162104718986156</v>
      </c>
      <c r="CD49" s="7">
        <f>+BO48</f>
        <v>1</v>
      </c>
      <c r="CE49" s="5">
        <f t="shared" ref="CE49:CE80" si="38">+VLOOKUP(CD49,$BO$48:$BX$151,10)</f>
        <v>1.2</v>
      </c>
      <c r="CF49" s="5">
        <f t="shared" ref="CF49:CF80" si="39">+VLOOKUP(CD49,$BO$48:$CB$151,14)</f>
        <v>1.2</v>
      </c>
      <c r="CG49">
        <f>+R49</f>
        <v>1</v>
      </c>
      <c r="CH49" s="5">
        <f t="shared" ref="CH49:CH80" si="40">+VLOOKUP(CG49,$R$49:$Z$152,9)</f>
        <v>1.1874401999999999</v>
      </c>
      <c r="CI49" s="5">
        <f t="shared" ref="CI49:CI80" si="41">+VLOOKUP(CG49,$R$49:$AK$152,20)</f>
        <v>1.1874401999999999</v>
      </c>
      <c r="CJ49" s="5">
        <f t="shared" ref="CJ49:CJ80" si="42">+CE49/CH49</f>
        <v>1.0105772063300535</v>
      </c>
      <c r="CK49" s="5">
        <f t="shared" ref="CK49:CK80" si="43">+CF49/CI49</f>
        <v>1.0105772063300535</v>
      </c>
      <c r="CL49" s="5"/>
      <c r="CM49" s="5"/>
      <c r="CN49" s="5"/>
      <c r="CO49" s="51"/>
      <c r="CQ49" s="51"/>
      <c r="CR49" s="6"/>
      <c r="CS49" s="124"/>
      <c r="CT49" s="4">
        <v>40639</v>
      </c>
      <c r="CU49" s="7"/>
      <c r="CV49">
        <v>1</v>
      </c>
      <c r="CW49" s="9">
        <v>1</v>
      </c>
      <c r="CX49" s="7"/>
      <c r="DA49" s="5"/>
      <c r="DB49" s="73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V49" s="7"/>
      <c r="DX49" s="7"/>
    </row>
    <row r="50" spans="1:130">
      <c r="A50">
        <v>7</v>
      </c>
      <c r="B50">
        <v>0.73699999999999999</v>
      </c>
      <c r="D50" s="7"/>
      <c r="F50" s="19"/>
      <c r="G50" s="39"/>
      <c r="H50" s="35"/>
      <c r="I50" s="4"/>
      <c r="J50" s="5">
        <v>4.1764400000000007E-2</v>
      </c>
      <c r="K50" s="76">
        <f t="shared" ref="K50:K62" si="44">+J50*1000</f>
        <v>41.764400000000009</v>
      </c>
      <c r="L50" s="107">
        <v>40639</v>
      </c>
      <c r="O50" s="4">
        <v>40639</v>
      </c>
      <c r="P50" s="76">
        <v>41.764400000000009</v>
      </c>
      <c r="Q50" s="24">
        <f t="shared" si="21"/>
        <v>1</v>
      </c>
      <c r="R50" s="114">
        <f t="shared" si="22"/>
        <v>2</v>
      </c>
      <c r="S50" s="39">
        <f t="shared" si="2"/>
        <v>4.1764400000000007E-2</v>
      </c>
      <c r="T50" s="5">
        <f t="shared" si="3"/>
        <v>0.75175920000000018</v>
      </c>
      <c r="U50" s="7">
        <f t="shared" si="4"/>
        <v>667.5496688741722</v>
      </c>
      <c r="V50">
        <f t="shared" ref="V50:V81" si="45">+V49</f>
        <v>3.2</v>
      </c>
      <c r="W50" s="77">
        <v>2</v>
      </c>
      <c r="X50" s="6">
        <f t="shared" si="23"/>
        <v>1.3350993377483444</v>
      </c>
      <c r="Y50" s="6">
        <f t="shared" si="24"/>
        <v>2.7879811390728482E-2</v>
      </c>
      <c r="Z50" s="5">
        <f t="shared" ref="Z50:Z81" si="46">+X50-Y50</f>
        <v>1.3072195263576161</v>
      </c>
      <c r="AA50" s="113">
        <f t="shared" si="5"/>
        <v>0.40850610198675502</v>
      </c>
      <c r="AB50" s="5">
        <f t="shared" si="25"/>
        <v>0.40850610198675491</v>
      </c>
      <c r="AC50" s="80">
        <f t="shared" si="26"/>
        <v>1.3350993377483444</v>
      </c>
      <c r="AD50" s="5">
        <f t="shared" si="27"/>
        <v>0.36252538630136988</v>
      </c>
      <c r="AE50" s="5">
        <f t="shared" si="28"/>
        <v>0.13364608000000003</v>
      </c>
      <c r="AF50" s="5">
        <f t="shared" si="29"/>
        <v>2.7879811390728485E-2</v>
      </c>
      <c r="AG50" s="7">
        <f t="shared" si="6"/>
        <v>362.52538630136991</v>
      </c>
      <c r="AH50" s="5">
        <f t="shared" si="30"/>
        <v>1.3072195263576158</v>
      </c>
      <c r="AI50" s="7">
        <f t="shared" si="31"/>
        <v>408.50610198675497</v>
      </c>
      <c r="AJ50" s="6">
        <f t="shared" si="32"/>
        <v>1.3072195263576161</v>
      </c>
      <c r="AK50" s="5">
        <f t="shared" ref="AK50:AK81" si="47">+AJ50+AK49</f>
        <v>2.4946597263576162</v>
      </c>
      <c r="AL50" s="5"/>
      <c r="AM50" s="7"/>
      <c r="AO50" s="18"/>
      <c r="AP50" s="4">
        <f t="shared" si="33"/>
        <v>40640</v>
      </c>
      <c r="AQ50" s="36">
        <f t="shared" si="33"/>
        <v>0.44444444444444442</v>
      </c>
      <c r="AR50">
        <f t="shared" si="33"/>
        <v>4000</v>
      </c>
      <c r="AT50" s="4">
        <v>40641</v>
      </c>
      <c r="AU50" s="36">
        <v>0.38541666666666669</v>
      </c>
      <c r="AV50">
        <v>3720</v>
      </c>
      <c r="AX50" s="45">
        <f t="shared" si="7"/>
        <v>297.56457564575646</v>
      </c>
      <c r="AY50" s="45">
        <f t="shared" si="8"/>
        <v>0</v>
      </c>
      <c r="AZ50" s="7">
        <f t="shared" si="9"/>
        <v>297.56457564575646</v>
      </c>
      <c r="BA50" s="18">
        <f t="shared" si="10"/>
        <v>1</v>
      </c>
      <c r="BB50" s="6">
        <f t="shared" si="11"/>
        <v>22.583333333333332</v>
      </c>
      <c r="BI50" s="91"/>
      <c r="BJ50" s="27"/>
      <c r="BK50" s="21"/>
      <c r="BL50" s="12">
        <v>40640</v>
      </c>
      <c r="BM50" s="72">
        <f t="shared" si="12"/>
        <v>0</v>
      </c>
      <c r="BN50" s="24">
        <f t="shared" si="34"/>
        <v>1</v>
      </c>
      <c r="BO50" s="21">
        <f t="shared" si="35"/>
        <v>3</v>
      </c>
      <c r="BP50" s="5">
        <v>0</v>
      </c>
      <c r="BQ50" s="7">
        <f t="shared" si="13"/>
        <v>297.56457564575646</v>
      </c>
      <c r="BR50" s="7"/>
      <c r="BS50" s="7">
        <f t="shared" si="14"/>
        <v>297.56457564575646</v>
      </c>
      <c r="BT50">
        <f t="shared" ref="BT50:BT58" si="48">+BT49</f>
        <v>3.2</v>
      </c>
      <c r="BU50">
        <f t="shared" ref="BU50:BU58" si="49">+BU49</f>
        <v>2</v>
      </c>
      <c r="BV50" s="6">
        <f t="shared" si="15"/>
        <v>0.59512915129151289</v>
      </c>
      <c r="BW50" s="6">
        <f t="shared" si="16"/>
        <v>0</v>
      </c>
      <c r="BX50" s="5">
        <f t="shared" si="17"/>
        <v>0.59512915129151289</v>
      </c>
      <c r="BY50" s="5">
        <f t="shared" si="18"/>
        <v>0.18597785977859776</v>
      </c>
      <c r="BZ50" s="5">
        <f t="shared" si="19"/>
        <v>0.18597785977859776</v>
      </c>
      <c r="CA50" s="5">
        <f t="shared" si="20"/>
        <v>0.59512915129151289</v>
      </c>
      <c r="CB50" s="7">
        <f t="shared" si="36"/>
        <v>3.1302284890398573</v>
      </c>
      <c r="CC50" s="5">
        <f t="shared" si="37"/>
        <v>1.0134819214312334</v>
      </c>
      <c r="CD50" s="7">
        <f>+BO49</f>
        <v>2</v>
      </c>
      <c r="CE50" s="5">
        <f t="shared" si="38"/>
        <v>1.3350993377483444</v>
      </c>
      <c r="CF50" s="5">
        <f t="shared" si="39"/>
        <v>2.5350993377483446</v>
      </c>
      <c r="CG50">
        <f>+R50</f>
        <v>2</v>
      </c>
      <c r="CH50" s="5">
        <f t="shared" si="40"/>
        <v>1.3072195263576161</v>
      </c>
      <c r="CI50" s="5">
        <f t="shared" si="41"/>
        <v>2.4946597263576162</v>
      </c>
      <c r="CJ50" s="5">
        <f t="shared" si="42"/>
        <v>1.0213275665093617</v>
      </c>
      <c r="CK50" s="5">
        <f t="shared" si="43"/>
        <v>1.0162104718986156</v>
      </c>
      <c r="CL50" s="5"/>
      <c r="CM50" s="5"/>
      <c r="CN50" s="5"/>
      <c r="CO50" s="51"/>
      <c r="CQ50" s="51">
        <f t="shared" ref="CQ50:CQ96" si="50">+CR50/62</f>
        <v>2.38952995391705E-3</v>
      </c>
      <c r="CR50" s="6">
        <v>0.14815085714285711</v>
      </c>
      <c r="CS50" s="124" t="s">
        <v>156</v>
      </c>
      <c r="CT50" s="4">
        <v>40641</v>
      </c>
      <c r="CU50" s="7">
        <f t="shared" ref="CU50:CU96" si="51">+CQ50*1000</f>
        <v>2.3895299539170498</v>
      </c>
      <c r="CV50">
        <f t="shared" ref="CV50:CV96" si="52">+DAY(CT50-CT49)</f>
        <v>2</v>
      </c>
      <c r="CW50" s="9">
        <f t="shared" ref="CW50:CW96" si="53">+CV50+CW49</f>
        <v>3</v>
      </c>
      <c r="CX50" s="7">
        <f>+VLOOKUP(CT50,$AP$50:$AZ$93,9)</f>
        <v>526.7256637168141</v>
      </c>
      <c r="CY50" s="5">
        <f t="shared" ref="CY50:CY96" si="54">+CX50/1000*CQ50</f>
        <v>1.2586267509481664E-3</v>
      </c>
      <c r="DA50" s="5"/>
      <c r="DB50" s="126"/>
      <c r="DC50" s="127"/>
      <c r="DD50" s="17"/>
      <c r="DE50" s="17"/>
      <c r="DF50" s="128"/>
      <c r="DG50" s="128"/>
      <c r="DH50" s="8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U50" s="5"/>
      <c r="DV50" s="7"/>
      <c r="DX50" s="7"/>
      <c r="DY50" s="7"/>
      <c r="DZ50" s="5"/>
    </row>
    <row r="51" spans="1:130">
      <c r="A51">
        <v>8</v>
      </c>
      <c r="B51">
        <v>0.35499999999999998</v>
      </c>
      <c r="C51">
        <f>AVERAGE(B51:B52)</f>
        <v>0.35349999999999998</v>
      </c>
      <c r="D51" s="7"/>
      <c r="F51" s="3"/>
      <c r="G51" s="39"/>
      <c r="H51" s="48"/>
      <c r="I51" s="4"/>
      <c r="J51" s="5">
        <v>4.0344000000000014E-3</v>
      </c>
      <c r="K51" s="76">
        <f t="shared" si="44"/>
        <v>4.0344000000000015</v>
      </c>
      <c r="L51" s="107">
        <v>40640</v>
      </c>
      <c r="O51" s="4">
        <v>40640</v>
      </c>
      <c r="P51" s="76">
        <v>4.0344000000000015</v>
      </c>
      <c r="Q51" s="24">
        <f t="shared" si="21"/>
        <v>1</v>
      </c>
      <c r="R51" s="114">
        <f t="shared" si="22"/>
        <v>3</v>
      </c>
      <c r="S51" s="39">
        <f t="shared" si="2"/>
        <v>4.0344000000000014E-3</v>
      </c>
      <c r="T51" s="5">
        <f t="shared" si="3"/>
        <v>7.2619200000000036E-2</v>
      </c>
      <c r="U51" s="7">
        <f t="shared" si="4"/>
        <v>297.56457564575646</v>
      </c>
      <c r="V51">
        <f t="shared" si="45"/>
        <v>3.2</v>
      </c>
      <c r="W51" s="77">
        <f>+W50</f>
        <v>2</v>
      </c>
      <c r="X51" s="6">
        <f t="shared" si="23"/>
        <v>0.59512915129151289</v>
      </c>
      <c r="Y51" s="6">
        <f t="shared" si="24"/>
        <v>1.2004945239852403E-3</v>
      </c>
      <c r="Z51" s="5">
        <f t="shared" si="46"/>
        <v>0.59392865676752771</v>
      </c>
      <c r="AA51" s="113">
        <f t="shared" si="5"/>
        <v>0.18560270523985239</v>
      </c>
      <c r="AB51" s="5">
        <f t="shared" si="25"/>
        <v>0.18560270523985237</v>
      </c>
      <c r="AC51" s="80">
        <f t="shared" si="26"/>
        <v>0.59512915129151289</v>
      </c>
      <c r="AD51" s="5">
        <f t="shared" si="27"/>
        <v>0.20836648345712355</v>
      </c>
      <c r="AE51" s="5">
        <f t="shared" si="28"/>
        <v>1.2910080000000006E-2</v>
      </c>
      <c r="AF51" s="5">
        <f t="shared" si="29"/>
        <v>1.2004945239852403E-3</v>
      </c>
      <c r="AG51" s="7">
        <f t="shared" si="6"/>
        <v>208.36648345712356</v>
      </c>
      <c r="AH51" s="5">
        <f t="shared" si="30"/>
        <v>0.59392865676752771</v>
      </c>
      <c r="AI51" s="7">
        <f t="shared" si="31"/>
        <v>185.60270523985241</v>
      </c>
      <c r="AJ51" s="6">
        <f t="shared" si="32"/>
        <v>0.59392865676752771</v>
      </c>
      <c r="AK51" s="5">
        <f t="shared" si="47"/>
        <v>3.0885883831251437</v>
      </c>
      <c r="AL51" s="5"/>
      <c r="AM51" s="7"/>
      <c r="AO51" s="18"/>
      <c r="AP51" s="4">
        <f t="shared" si="33"/>
        <v>40641</v>
      </c>
      <c r="AQ51" s="36">
        <f t="shared" si="33"/>
        <v>0.38541666666666669</v>
      </c>
      <c r="AR51">
        <f t="shared" si="33"/>
        <v>3720</v>
      </c>
      <c r="AT51" s="4">
        <v>40642</v>
      </c>
      <c r="AU51" s="36">
        <v>0.5625</v>
      </c>
      <c r="AV51">
        <v>3100</v>
      </c>
      <c r="AX51" s="45">
        <f t="shared" si="7"/>
        <v>526.7256637168141</v>
      </c>
      <c r="AY51" s="45">
        <f t="shared" si="8"/>
        <v>0</v>
      </c>
      <c r="AZ51" s="7">
        <f t="shared" si="9"/>
        <v>526.7256637168141</v>
      </c>
      <c r="BA51" s="18">
        <f t="shared" si="10"/>
        <v>1</v>
      </c>
      <c r="BB51" s="6">
        <f t="shared" si="11"/>
        <v>28.25</v>
      </c>
      <c r="BI51" s="91"/>
      <c r="BJ51" s="99">
        <v>9.1999999999999998E-2</v>
      </c>
      <c r="BK51" s="94">
        <v>40641</v>
      </c>
      <c r="BL51" s="12">
        <v>40641</v>
      </c>
      <c r="BM51" s="72">
        <f t="shared" si="12"/>
        <v>0</v>
      </c>
      <c r="BN51" s="24">
        <f t="shared" si="34"/>
        <v>1</v>
      </c>
      <c r="BO51" s="21">
        <f t="shared" si="35"/>
        <v>4</v>
      </c>
      <c r="BP51" s="5">
        <v>0</v>
      </c>
      <c r="BQ51" s="7">
        <f t="shared" si="13"/>
        <v>526.7256637168141</v>
      </c>
      <c r="BR51" s="7"/>
      <c r="BS51" s="7">
        <f t="shared" si="14"/>
        <v>526.7256637168141</v>
      </c>
      <c r="BT51">
        <f t="shared" si="48"/>
        <v>3.2</v>
      </c>
      <c r="BU51">
        <f t="shared" si="49"/>
        <v>2</v>
      </c>
      <c r="BV51" s="6">
        <f t="shared" si="15"/>
        <v>1.0534513274336281</v>
      </c>
      <c r="BW51" s="6">
        <f t="shared" si="16"/>
        <v>0</v>
      </c>
      <c r="BX51" s="5">
        <f t="shared" si="17"/>
        <v>1.0534513274336281</v>
      </c>
      <c r="BY51" s="5">
        <f t="shared" si="18"/>
        <v>0.32920353982300876</v>
      </c>
      <c r="BZ51" s="5">
        <f t="shared" si="19"/>
        <v>0.32920353982300876</v>
      </c>
      <c r="CA51" s="5">
        <f t="shared" si="20"/>
        <v>1.0534513274336281</v>
      </c>
      <c r="CB51" s="7">
        <f t="shared" si="36"/>
        <v>4.1836798164734859</v>
      </c>
      <c r="CC51" s="5">
        <f t="shared" si="37"/>
        <v>1.0110816434220395</v>
      </c>
      <c r="CD51" s="7">
        <f>+BO50</f>
        <v>3</v>
      </c>
      <c r="CE51" s="5">
        <f t="shared" si="38"/>
        <v>0.59512915129151289</v>
      </c>
      <c r="CF51" s="5">
        <f t="shared" si="39"/>
        <v>3.1302284890398573</v>
      </c>
      <c r="CG51">
        <f>+R51</f>
        <v>3</v>
      </c>
      <c r="CH51" s="5">
        <f t="shared" si="40"/>
        <v>0.59392865676752771</v>
      </c>
      <c r="CI51" s="5">
        <f t="shared" si="41"/>
        <v>3.0885883831251437</v>
      </c>
      <c r="CJ51" s="5">
        <f t="shared" si="42"/>
        <v>1.002021277320611</v>
      </c>
      <c r="CK51" s="5">
        <f t="shared" si="43"/>
        <v>1.0134819214312334</v>
      </c>
      <c r="CL51" s="5"/>
      <c r="CM51" s="5"/>
      <c r="CN51" s="5"/>
      <c r="CO51" s="51"/>
      <c r="CQ51" s="51">
        <f t="shared" si="50"/>
        <v>5.2195244239631337E-2</v>
      </c>
      <c r="CR51" s="6">
        <v>3.2361051428571428</v>
      </c>
      <c r="CS51" s="124" t="s">
        <v>157</v>
      </c>
      <c r="CT51" s="4">
        <v>40642</v>
      </c>
      <c r="CU51" s="7">
        <f t="shared" si="51"/>
        <v>52.195244239631336</v>
      </c>
      <c r="CV51">
        <f t="shared" si="52"/>
        <v>1</v>
      </c>
      <c r="CW51" s="9">
        <f t="shared" si="53"/>
        <v>4</v>
      </c>
      <c r="CX51" s="7">
        <f t="shared" ref="CX51:CX96" si="55">+VLOOKUP(CT51,AP51:AZ94,9)</f>
        <v>640</v>
      </c>
      <c r="CY51" s="5">
        <f t="shared" si="54"/>
        <v>3.3404956313364056E-2</v>
      </c>
      <c r="DA51" s="5"/>
      <c r="DB51" s="126"/>
      <c r="DC51" s="127"/>
      <c r="DD51" s="129"/>
      <c r="DE51" s="17"/>
      <c r="DF51" s="128"/>
      <c r="DG51" s="128"/>
      <c r="DH51" s="87"/>
      <c r="DI51" s="17"/>
      <c r="DJ51" s="128"/>
      <c r="DK51" s="87"/>
      <c r="DL51" s="17"/>
      <c r="DM51" s="87"/>
      <c r="DN51" s="87"/>
      <c r="DO51" s="87"/>
      <c r="DP51" s="87"/>
      <c r="DQ51" s="17"/>
      <c r="DR51" s="17"/>
      <c r="DU51" s="5"/>
      <c r="DV51" s="7"/>
      <c r="DX51" s="7"/>
      <c r="DY51" s="7"/>
      <c r="DZ51" s="5"/>
    </row>
    <row r="52" spans="1:130">
      <c r="A52">
        <v>8</v>
      </c>
      <c r="B52">
        <v>0.35199999999999998</v>
      </c>
      <c r="D52" s="7"/>
      <c r="F52" s="19"/>
      <c r="G52" s="39"/>
      <c r="H52" s="35"/>
      <c r="I52" s="4"/>
      <c r="J52" s="5">
        <v>1.8910800000000005E-2</v>
      </c>
      <c r="K52" s="76">
        <f t="shared" si="44"/>
        <v>18.910800000000005</v>
      </c>
      <c r="L52" s="107">
        <v>40641</v>
      </c>
      <c r="M52" s="76">
        <v>8.3789999999999996</v>
      </c>
      <c r="N52" s="94">
        <v>40641</v>
      </c>
      <c r="O52" s="4">
        <v>40641</v>
      </c>
      <c r="P52" s="76">
        <v>8</v>
      </c>
      <c r="Q52" s="24">
        <f t="shared" si="21"/>
        <v>1</v>
      </c>
      <c r="R52" s="114">
        <f t="shared" si="22"/>
        <v>4</v>
      </c>
      <c r="S52" s="39">
        <f t="shared" si="2"/>
        <v>8.0000000000000002E-3</v>
      </c>
      <c r="T52" s="5">
        <f t="shared" si="3"/>
        <v>0.14399999999999999</v>
      </c>
      <c r="U52" s="7">
        <f t="shared" si="4"/>
        <v>526.7256637168141</v>
      </c>
      <c r="V52">
        <f t="shared" si="45"/>
        <v>3.2</v>
      </c>
      <c r="W52" s="77">
        <v>2</v>
      </c>
      <c r="X52" s="6">
        <f t="shared" si="23"/>
        <v>1.0534513274336281</v>
      </c>
      <c r="Y52" s="6">
        <f t="shared" si="24"/>
        <v>4.2138053097345125E-3</v>
      </c>
      <c r="Z52" s="5">
        <f t="shared" si="46"/>
        <v>1.0492375221238937</v>
      </c>
      <c r="AA52" s="113">
        <f t="shared" si="5"/>
        <v>0.32788672566371674</v>
      </c>
      <c r="AB52" s="5">
        <f t="shared" si="25"/>
        <v>0.32788672566371679</v>
      </c>
      <c r="AC52" s="80">
        <f t="shared" si="26"/>
        <v>1.0534513274336281</v>
      </c>
      <c r="AD52" s="5">
        <f t="shared" si="27"/>
        <v>0.28613896048632215</v>
      </c>
      <c r="AE52" s="5">
        <f t="shared" si="28"/>
        <v>2.5600000000000001E-2</v>
      </c>
      <c r="AF52" s="5">
        <f t="shared" si="29"/>
        <v>4.2138053097345125E-3</v>
      </c>
      <c r="AG52" s="7">
        <f t="shared" si="6"/>
        <v>286.13896048632216</v>
      </c>
      <c r="AH52" s="5">
        <f t="shared" si="30"/>
        <v>1.0492375221238937</v>
      </c>
      <c r="AI52" s="7">
        <f t="shared" si="31"/>
        <v>327.88672566371673</v>
      </c>
      <c r="AJ52" s="6">
        <f t="shared" si="32"/>
        <v>1.0492375221238937</v>
      </c>
      <c r="AK52" s="5">
        <f t="shared" si="47"/>
        <v>4.1378259052490378</v>
      </c>
      <c r="AL52" s="5"/>
      <c r="AM52" s="7"/>
      <c r="AO52" s="18"/>
      <c r="AP52" s="4">
        <f t="shared" si="33"/>
        <v>40642</v>
      </c>
      <c r="AQ52" s="36">
        <f t="shared" si="33"/>
        <v>0.5625</v>
      </c>
      <c r="AR52">
        <f t="shared" si="33"/>
        <v>3100</v>
      </c>
      <c r="AT52" s="4">
        <v>40643</v>
      </c>
      <c r="AU52" s="36">
        <v>0.5</v>
      </c>
      <c r="AV52">
        <v>2500</v>
      </c>
      <c r="AX52" s="45">
        <f t="shared" si="7"/>
        <v>640</v>
      </c>
      <c r="AY52" s="45">
        <f t="shared" si="8"/>
        <v>0</v>
      </c>
      <c r="AZ52" s="7">
        <f t="shared" si="9"/>
        <v>640</v>
      </c>
      <c r="BA52" s="18">
        <f t="shared" si="10"/>
        <v>1</v>
      </c>
      <c r="BB52" s="6">
        <f t="shared" si="11"/>
        <v>22.5</v>
      </c>
      <c r="BI52" s="91"/>
      <c r="BJ52" s="27"/>
      <c r="BK52" s="21"/>
      <c r="BL52" s="12">
        <v>40642</v>
      </c>
      <c r="BM52" s="72">
        <f t="shared" si="12"/>
        <v>0</v>
      </c>
      <c r="BN52" s="24">
        <f t="shared" si="34"/>
        <v>1</v>
      </c>
      <c r="BO52" s="21">
        <f t="shared" si="35"/>
        <v>5</v>
      </c>
      <c r="BP52" s="5">
        <v>0</v>
      </c>
      <c r="BQ52" s="7">
        <f t="shared" si="13"/>
        <v>640</v>
      </c>
      <c r="BR52" s="7"/>
      <c r="BS52" s="7">
        <f t="shared" si="14"/>
        <v>640</v>
      </c>
      <c r="BT52">
        <f t="shared" si="48"/>
        <v>3.2</v>
      </c>
      <c r="BU52">
        <f t="shared" si="49"/>
        <v>2</v>
      </c>
      <c r="BV52" s="6">
        <f t="shared" si="15"/>
        <v>1.28</v>
      </c>
      <c r="BW52" s="6">
        <f t="shared" si="16"/>
        <v>0</v>
      </c>
      <c r="BX52" s="5">
        <f t="shared" si="17"/>
        <v>1.28</v>
      </c>
      <c r="BY52" s="5">
        <f t="shared" si="18"/>
        <v>0.39999999999999997</v>
      </c>
      <c r="BZ52" s="5">
        <f t="shared" si="19"/>
        <v>0.39999999999999997</v>
      </c>
      <c r="CA52" s="5">
        <f t="shared" si="20"/>
        <v>1.28</v>
      </c>
      <c r="CB52" s="7">
        <f t="shared" si="36"/>
        <v>5.4636798164734861</v>
      </c>
      <c r="CC52" s="5">
        <f t="shared" si="37"/>
        <v>1.0101025804366288</v>
      </c>
      <c r="CD52" s="7">
        <f>+BO51</f>
        <v>4</v>
      </c>
      <c r="CE52" s="5">
        <f t="shared" si="38"/>
        <v>1.0534513274336281</v>
      </c>
      <c r="CF52" s="5">
        <f t="shared" si="39"/>
        <v>4.1836798164734859</v>
      </c>
      <c r="CG52">
        <f>+R52</f>
        <v>4</v>
      </c>
      <c r="CH52" s="5">
        <f t="shared" si="40"/>
        <v>1.0492375221238937</v>
      </c>
      <c r="CI52" s="5">
        <f t="shared" si="41"/>
        <v>4.1378259052490378</v>
      </c>
      <c r="CJ52" s="5">
        <f t="shared" si="42"/>
        <v>1.0040160642570282</v>
      </c>
      <c r="CK52" s="5">
        <f t="shared" si="43"/>
        <v>1.0110816434220395</v>
      </c>
      <c r="CL52" s="5"/>
      <c r="CM52" s="5"/>
      <c r="CN52" s="5"/>
      <c r="CO52" s="51"/>
      <c r="CQ52" s="51">
        <f t="shared" si="50"/>
        <v>2.38952995391705E-3</v>
      </c>
      <c r="CR52" s="6">
        <v>0.14815085714285711</v>
      </c>
      <c r="CS52" t="s">
        <v>158</v>
      </c>
      <c r="CT52" s="4">
        <v>40649</v>
      </c>
      <c r="CU52" s="7">
        <f t="shared" si="51"/>
        <v>2.3895299539170498</v>
      </c>
      <c r="CV52">
        <f t="shared" si="52"/>
        <v>7</v>
      </c>
      <c r="CW52" s="9">
        <f t="shared" si="53"/>
        <v>11</v>
      </c>
      <c r="CX52" s="7">
        <f t="shared" si="55"/>
        <v>694.81302774427013</v>
      </c>
      <c r="CY52" s="5">
        <f t="shared" si="54"/>
        <v>1.6602765421667317E-3</v>
      </c>
      <c r="DA52" s="5"/>
      <c r="DB52" s="126"/>
      <c r="DC52" s="127"/>
      <c r="DD52" s="129"/>
      <c r="DE52" s="17"/>
      <c r="DF52" s="128"/>
      <c r="DG52" s="128"/>
      <c r="DH52" s="87"/>
      <c r="DI52" s="17"/>
      <c r="DJ52" s="128"/>
      <c r="DK52" s="87"/>
      <c r="DL52" s="17"/>
      <c r="DM52" s="87"/>
      <c r="DN52" s="87"/>
      <c r="DO52" s="87"/>
      <c r="DP52" s="87"/>
      <c r="DQ52" s="17"/>
      <c r="DR52" s="17"/>
      <c r="DU52" s="5"/>
      <c r="DV52" s="7"/>
      <c r="DX52" s="7"/>
      <c r="DY52" s="7"/>
      <c r="DZ52" s="5"/>
    </row>
    <row r="53" spans="1:130">
      <c r="A53">
        <v>9</v>
      </c>
      <c r="B53">
        <v>0.26600000000000001</v>
      </c>
      <c r="C53">
        <f>AVERAGE(B53:B54)</f>
        <v>0.26650000000000001</v>
      </c>
      <c r="D53" s="7"/>
      <c r="F53" s="3"/>
      <c r="G53" s="39"/>
      <c r="H53" s="48"/>
      <c r="I53" s="4"/>
      <c r="J53" s="5">
        <v>1.3736399999999999E-2</v>
      </c>
      <c r="K53" s="76">
        <f t="shared" si="44"/>
        <v>13.7364</v>
      </c>
      <c r="L53" s="107">
        <v>40642</v>
      </c>
      <c r="O53" s="4">
        <v>40642</v>
      </c>
      <c r="P53" s="23">
        <v>13.7364</v>
      </c>
      <c r="Q53" s="24">
        <f t="shared" si="21"/>
        <v>1</v>
      </c>
      <c r="R53" s="114">
        <f t="shared" si="22"/>
        <v>5</v>
      </c>
      <c r="S53" s="39">
        <f t="shared" si="2"/>
        <v>1.3736399999999999E-2</v>
      </c>
      <c r="T53" s="5">
        <f t="shared" si="3"/>
        <v>0.24725520000000001</v>
      </c>
      <c r="U53" s="7">
        <f t="shared" si="4"/>
        <v>640</v>
      </c>
      <c r="V53">
        <f t="shared" si="45"/>
        <v>3.2</v>
      </c>
      <c r="W53" s="77">
        <f t="shared" ref="W53:W58" si="56">+W52</f>
        <v>2</v>
      </c>
      <c r="X53" s="6">
        <f t="shared" si="23"/>
        <v>1.28</v>
      </c>
      <c r="Y53" s="6">
        <f t="shared" si="24"/>
        <v>8.7912960000000005E-3</v>
      </c>
      <c r="Z53" s="5">
        <f t="shared" si="46"/>
        <v>1.271208704</v>
      </c>
      <c r="AA53" s="113">
        <f t="shared" si="5"/>
        <v>0.39725271999999995</v>
      </c>
      <c r="AB53" s="5">
        <f t="shared" si="25"/>
        <v>0.39725272000000006</v>
      </c>
      <c r="AC53" s="80">
        <f t="shared" si="26"/>
        <v>1.28</v>
      </c>
      <c r="AD53" s="5">
        <f t="shared" si="27"/>
        <v>0.34</v>
      </c>
      <c r="AE53" s="5">
        <f t="shared" si="28"/>
        <v>4.3956479999999999E-2</v>
      </c>
      <c r="AF53" s="5">
        <f t="shared" si="29"/>
        <v>8.7912960000000005E-3</v>
      </c>
      <c r="AG53" s="7">
        <f t="shared" si="6"/>
        <v>340</v>
      </c>
      <c r="AH53" s="5">
        <f t="shared" si="30"/>
        <v>1.271208704</v>
      </c>
      <c r="AI53" s="7">
        <f t="shared" si="31"/>
        <v>397.25271999999995</v>
      </c>
      <c r="AJ53" s="6">
        <f t="shared" si="32"/>
        <v>1.271208704</v>
      </c>
      <c r="AK53" s="5">
        <f t="shared" si="47"/>
        <v>5.409034609249038</v>
      </c>
      <c r="AL53" s="5"/>
      <c r="AM53" s="7"/>
      <c r="AO53" s="18"/>
      <c r="AP53" s="4">
        <f t="shared" si="33"/>
        <v>40643</v>
      </c>
      <c r="AQ53" s="36">
        <f t="shared" si="33"/>
        <v>0.5</v>
      </c>
      <c r="AR53">
        <f t="shared" si="33"/>
        <v>2500</v>
      </c>
      <c r="AT53" s="4">
        <v>40644</v>
      </c>
      <c r="AU53" s="36">
        <v>0.79999999999999993</v>
      </c>
      <c r="AV53">
        <v>1750</v>
      </c>
      <c r="AX53" s="45">
        <f t="shared" si="7"/>
        <v>576.92307692307691</v>
      </c>
      <c r="AY53" s="45">
        <f t="shared" si="8"/>
        <v>0</v>
      </c>
      <c r="AZ53" s="7">
        <f t="shared" si="9"/>
        <v>576.92307692307691</v>
      </c>
      <c r="BA53" s="18">
        <f t="shared" si="10"/>
        <v>1</v>
      </c>
      <c r="BB53" s="6">
        <f t="shared" si="11"/>
        <v>31.200000000000003</v>
      </c>
      <c r="BI53" s="91"/>
      <c r="BJ53" s="27"/>
      <c r="BK53" s="21"/>
      <c r="BL53" s="12">
        <v>40643</v>
      </c>
      <c r="BM53" s="72">
        <f t="shared" si="12"/>
        <v>0</v>
      </c>
      <c r="BN53" s="24">
        <f t="shared" si="34"/>
        <v>1</v>
      </c>
      <c r="BO53" s="21">
        <f t="shared" si="35"/>
        <v>6</v>
      </c>
      <c r="BP53" s="5">
        <v>0</v>
      </c>
      <c r="BQ53" s="7">
        <f t="shared" si="13"/>
        <v>576.92307692307691</v>
      </c>
      <c r="BR53" s="7"/>
      <c r="BS53" s="7">
        <f t="shared" si="14"/>
        <v>576.92307692307691</v>
      </c>
      <c r="BT53">
        <f t="shared" si="48"/>
        <v>3.2</v>
      </c>
      <c r="BU53">
        <f t="shared" si="49"/>
        <v>2</v>
      </c>
      <c r="BV53" s="6">
        <f t="shared" si="15"/>
        <v>1.1538461538461537</v>
      </c>
      <c r="BW53" s="6">
        <f t="shared" si="16"/>
        <v>0</v>
      </c>
      <c r="BX53" s="5">
        <f t="shared" si="17"/>
        <v>1.1538461538461537</v>
      </c>
      <c r="BY53" s="5">
        <f t="shared" si="18"/>
        <v>0.36057692307692302</v>
      </c>
      <c r="BZ53" s="5">
        <f t="shared" si="19"/>
        <v>0.36057692307692302</v>
      </c>
      <c r="CA53" s="5">
        <f t="shared" si="20"/>
        <v>1.1538461538461537</v>
      </c>
      <c r="CB53" s="7">
        <f t="shared" si="36"/>
        <v>6.6175259703196403</v>
      </c>
      <c r="CC53" s="5">
        <f t="shared" si="37"/>
        <v>1.2234208964025066</v>
      </c>
      <c r="CD53" s="7">
        <f>+BO52</f>
        <v>5</v>
      </c>
      <c r="CE53" s="5">
        <f t="shared" si="38"/>
        <v>1.28</v>
      </c>
      <c r="CF53" s="5">
        <f t="shared" si="39"/>
        <v>5.4636798164734861</v>
      </c>
      <c r="CG53">
        <f>+R53</f>
        <v>5</v>
      </c>
      <c r="CH53" s="5">
        <f t="shared" si="40"/>
        <v>1.271208704</v>
      </c>
      <c r="CI53" s="5">
        <f t="shared" si="41"/>
        <v>5.409034609249038</v>
      </c>
      <c r="CJ53" s="5">
        <f t="shared" si="42"/>
        <v>1.0069156983997491</v>
      </c>
      <c r="CK53" s="5">
        <f t="shared" si="43"/>
        <v>1.0101025804366288</v>
      </c>
      <c r="CL53" s="5"/>
      <c r="CM53" s="5"/>
      <c r="CN53" s="5"/>
      <c r="CO53" s="51"/>
      <c r="CQ53" s="51">
        <f t="shared" si="50"/>
        <v>1.9098543778801842E-2</v>
      </c>
      <c r="CR53" s="6">
        <v>1.1841097142857142</v>
      </c>
      <c r="CS53" t="s">
        <v>159</v>
      </c>
      <c r="CT53" s="4">
        <v>40650</v>
      </c>
      <c r="CU53" s="7">
        <f t="shared" si="51"/>
        <v>19.09854377880184</v>
      </c>
      <c r="CV53">
        <f t="shared" si="52"/>
        <v>1</v>
      </c>
      <c r="CW53" s="9">
        <f t="shared" si="53"/>
        <v>12</v>
      </c>
      <c r="CX53" s="7">
        <f t="shared" si="55"/>
        <v>424.77876106194697</v>
      </c>
      <c r="CY53" s="5">
        <f t="shared" si="54"/>
        <v>8.1126557644468009E-3</v>
      </c>
      <c r="DA53" s="5"/>
      <c r="DB53" s="126"/>
      <c r="DC53" s="127"/>
      <c r="DD53" s="129"/>
      <c r="DE53" s="17"/>
      <c r="DF53" s="128"/>
      <c r="DG53" s="128"/>
      <c r="DH53" s="87"/>
      <c r="DI53" s="17"/>
      <c r="DJ53" s="128"/>
      <c r="DK53" s="87"/>
      <c r="DL53" s="17"/>
      <c r="DM53" s="87"/>
      <c r="DN53" s="87"/>
      <c r="DO53" s="87"/>
      <c r="DP53" s="87"/>
      <c r="DQ53" s="17"/>
      <c r="DR53" s="17"/>
      <c r="DU53" s="5"/>
      <c r="DV53" s="7"/>
      <c r="DX53" s="7"/>
      <c r="DY53" s="7"/>
      <c r="DZ53" s="5"/>
    </row>
    <row r="54" spans="1:130">
      <c r="A54">
        <v>9</v>
      </c>
      <c r="B54">
        <v>0.26700000000000002</v>
      </c>
      <c r="D54" s="7"/>
      <c r="F54" s="19"/>
      <c r="G54" s="39"/>
      <c r="H54" s="35"/>
      <c r="I54" s="4"/>
      <c r="J54" s="5">
        <v>0</v>
      </c>
      <c r="K54" s="76">
        <f t="shared" si="44"/>
        <v>0</v>
      </c>
      <c r="L54" s="107">
        <v>40644</v>
      </c>
      <c r="O54" s="4">
        <v>40644</v>
      </c>
      <c r="P54" s="23">
        <v>0</v>
      </c>
      <c r="Q54" s="24">
        <f t="shared" si="21"/>
        <v>2</v>
      </c>
      <c r="R54" s="114">
        <f t="shared" si="22"/>
        <v>7</v>
      </c>
      <c r="S54" s="39">
        <f t="shared" si="2"/>
        <v>0</v>
      </c>
      <c r="T54" s="5">
        <f t="shared" si="3"/>
        <v>0</v>
      </c>
      <c r="U54" s="7">
        <f t="shared" si="4"/>
        <v>619.97703788748584</v>
      </c>
      <c r="V54">
        <f t="shared" si="45"/>
        <v>3.2</v>
      </c>
      <c r="W54" s="77">
        <f t="shared" si="56"/>
        <v>2</v>
      </c>
      <c r="X54" s="6">
        <f t="shared" si="23"/>
        <v>1.2399540757749716</v>
      </c>
      <c r="Y54" s="6">
        <f t="shared" si="24"/>
        <v>0</v>
      </c>
      <c r="Z54" s="5">
        <f t="shared" si="46"/>
        <v>1.2399540757749716</v>
      </c>
      <c r="AA54" s="113">
        <f t="shared" si="5"/>
        <v>0.38748564867967861</v>
      </c>
      <c r="AB54" s="5">
        <f t="shared" si="25"/>
        <v>0.38748564867967861</v>
      </c>
      <c r="AC54" s="80">
        <f t="shared" si="26"/>
        <v>1.2399540757749716</v>
      </c>
      <c r="AD54" s="5">
        <f t="shared" si="27"/>
        <v>0.33610426006251515</v>
      </c>
      <c r="AE54" s="5">
        <f t="shared" si="28"/>
        <v>0</v>
      </c>
      <c r="AF54" s="5">
        <f t="shared" si="29"/>
        <v>0</v>
      </c>
      <c r="AG54" s="7">
        <f t="shared" si="6"/>
        <v>336.10426006251515</v>
      </c>
      <c r="AH54" s="5">
        <f t="shared" si="30"/>
        <v>1.2399540757749716</v>
      </c>
      <c r="AI54" s="7">
        <f t="shared" si="31"/>
        <v>387.4856486796786</v>
      </c>
      <c r="AJ54" s="6">
        <f t="shared" si="32"/>
        <v>2.4799081515499433</v>
      </c>
      <c r="AK54" s="5">
        <f t="shared" si="47"/>
        <v>7.8889427607989813</v>
      </c>
      <c r="AL54" s="5"/>
      <c r="AM54" s="7"/>
      <c r="AO54" s="18"/>
      <c r="AP54" s="4">
        <f t="shared" ref="AP54:AP85" si="57">+AT53</f>
        <v>40644</v>
      </c>
      <c r="AQ54" s="36">
        <v>0.59583333333333333</v>
      </c>
      <c r="AR54">
        <f>+AV53</f>
        <v>1750</v>
      </c>
      <c r="AT54" s="4">
        <v>40645</v>
      </c>
      <c r="AU54" s="36">
        <v>0.80555555555555547</v>
      </c>
      <c r="AV54">
        <v>1000</v>
      </c>
      <c r="AX54" s="45">
        <f t="shared" si="7"/>
        <v>619.97703788748584</v>
      </c>
      <c r="AY54" s="45">
        <f t="shared" si="8"/>
        <v>0</v>
      </c>
      <c r="AZ54" s="7">
        <f t="shared" si="9"/>
        <v>619.97703788748584</v>
      </c>
      <c r="BA54" s="18">
        <f t="shared" si="10"/>
        <v>1</v>
      </c>
      <c r="BB54" s="6">
        <f t="shared" si="11"/>
        <v>29.033333333333328</v>
      </c>
      <c r="BI54" s="91"/>
      <c r="BJ54" s="27"/>
      <c r="BK54" s="21"/>
      <c r="BL54" s="12">
        <v>40644</v>
      </c>
      <c r="BM54" s="72">
        <f t="shared" si="12"/>
        <v>0</v>
      </c>
      <c r="BN54" s="24">
        <f t="shared" si="34"/>
        <v>1</v>
      </c>
      <c r="BO54" s="21">
        <f t="shared" si="35"/>
        <v>7</v>
      </c>
      <c r="BP54" s="5">
        <v>0</v>
      </c>
      <c r="BQ54" s="7">
        <f t="shared" si="13"/>
        <v>619.97703788748584</v>
      </c>
      <c r="BR54" s="7"/>
      <c r="BS54" s="7">
        <f t="shared" si="14"/>
        <v>619.97703788748584</v>
      </c>
      <c r="BT54">
        <f t="shared" si="48"/>
        <v>3.2</v>
      </c>
      <c r="BU54">
        <f t="shared" si="49"/>
        <v>2</v>
      </c>
      <c r="BV54" s="6">
        <f t="shared" si="15"/>
        <v>1.2399540757749716</v>
      </c>
      <c r="BW54" s="6">
        <f t="shared" si="16"/>
        <v>0</v>
      </c>
      <c r="BX54" s="5">
        <f t="shared" si="17"/>
        <v>1.2399540757749716</v>
      </c>
      <c r="BY54" s="5">
        <f t="shared" si="18"/>
        <v>0.38748564867967861</v>
      </c>
      <c r="BZ54" s="5">
        <f t="shared" si="19"/>
        <v>0.38748564867967861</v>
      </c>
      <c r="CA54" s="5">
        <f t="shared" si="20"/>
        <v>1.2399540757749716</v>
      </c>
      <c r="CB54" s="7">
        <f t="shared" si="36"/>
        <v>7.8574800460946115</v>
      </c>
      <c r="CC54" s="5">
        <f t="shared" si="37"/>
        <v>0.99601179579338417</v>
      </c>
      <c r="CD54" s="7">
        <v>7</v>
      </c>
      <c r="CE54" s="5">
        <f t="shared" si="38"/>
        <v>1.2399540757749716</v>
      </c>
      <c r="CF54" s="5">
        <f t="shared" si="39"/>
        <v>7.8574800460946115</v>
      </c>
      <c r="CG54">
        <v>7</v>
      </c>
      <c r="CH54" s="5">
        <f t="shared" si="40"/>
        <v>1.2399540757749716</v>
      </c>
      <c r="CI54" s="5">
        <f t="shared" si="41"/>
        <v>7.8889427607989813</v>
      </c>
      <c r="CJ54" s="5">
        <f t="shared" si="42"/>
        <v>1</v>
      </c>
      <c r="CK54" s="5">
        <f t="shared" si="43"/>
        <v>0.99601179579338417</v>
      </c>
      <c r="CL54" s="5"/>
      <c r="CM54" s="5"/>
      <c r="CN54" s="5"/>
      <c r="CO54" s="51"/>
      <c r="CQ54" s="51">
        <f t="shared" si="50"/>
        <v>9.1374009216589856E-3</v>
      </c>
      <c r="CR54" s="6">
        <v>0.5665188571428571</v>
      </c>
      <c r="CS54" t="s">
        <v>160</v>
      </c>
      <c r="CT54" s="4">
        <v>40652</v>
      </c>
      <c r="CU54" s="7">
        <f t="shared" si="51"/>
        <v>9.1374009216589851</v>
      </c>
      <c r="CV54">
        <f t="shared" si="52"/>
        <v>2</v>
      </c>
      <c r="CW54" s="9">
        <f t="shared" si="53"/>
        <v>14</v>
      </c>
      <c r="CX54" s="7">
        <f t="shared" si="55"/>
        <v>0</v>
      </c>
      <c r="CY54" s="5">
        <f t="shared" si="54"/>
        <v>0</v>
      </c>
      <c r="DA54" s="5"/>
      <c r="DB54" s="126"/>
      <c r="DC54" s="127"/>
      <c r="DD54" s="129"/>
      <c r="DE54" s="17"/>
      <c r="DF54" s="128"/>
      <c r="DG54" s="128"/>
      <c r="DH54" s="87"/>
      <c r="DI54" s="17"/>
      <c r="DJ54" s="128"/>
      <c r="DK54" s="87"/>
      <c r="DL54" s="17"/>
      <c r="DM54" s="87"/>
      <c r="DN54" s="87"/>
      <c r="DO54" s="87"/>
      <c r="DP54" s="87"/>
      <c r="DQ54" s="17"/>
      <c r="DR54" s="17"/>
      <c r="DU54" s="5"/>
      <c r="DV54" s="7"/>
      <c r="DX54" s="7"/>
      <c r="DY54" s="7"/>
      <c r="DZ54" s="5"/>
    </row>
    <row r="55" spans="1:130">
      <c r="A55">
        <v>10</v>
      </c>
      <c r="B55">
        <v>6.6000000000000003E-2</v>
      </c>
      <c r="C55">
        <f>AVERAGE(B55:B56)</f>
        <v>6.5000000000000002E-2</v>
      </c>
      <c r="D55" s="7"/>
      <c r="F55" s="3"/>
      <c r="G55" s="39"/>
      <c r="H55" s="48"/>
      <c r="I55" s="4"/>
      <c r="J55" s="5">
        <v>1.4814399999999995E-2</v>
      </c>
      <c r="K55" s="76">
        <f t="shared" si="44"/>
        <v>14.814399999999996</v>
      </c>
      <c r="L55" s="107">
        <v>40645</v>
      </c>
      <c r="O55" s="4">
        <v>40645</v>
      </c>
      <c r="P55" s="23">
        <v>14.814399999999996</v>
      </c>
      <c r="Q55" s="24">
        <f t="shared" si="21"/>
        <v>1</v>
      </c>
      <c r="R55" s="114">
        <f t="shared" si="22"/>
        <v>8</v>
      </c>
      <c r="S55" s="39">
        <f t="shared" si="2"/>
        <v>1.4814399999999995E-2</v>
      </c>
      <c r="T55" s="5">
        <f t="shared" si="3"/>
        <v>0.26665919999999993</v>
      </c>
      <c r="U55" s="7">
        <f t="shared" si="4"/>
        <v>961.06785317018944</v>
      </c>
      <c r="V55">
        <f t="shared" si="45"/>
        <v>3.2</v>
      </c>
      <c r="W55" s="77">
        <f t="shared" si="56"/>
        <v>2</v>
      </c>
      <c r="X55" s="6">
        <f t="shared" si="23"/>
        <v>1.9221357063403788</v>
      </c>
      <c r="Y55" s="6">
        <f t="shared" si="24"/>
        <v>1.423764360400445E-2</v>
      </c>
      <c r="Z55" s="5">
        <f t="shared" si="46"/>
        <v>1.9078980627363744</v>
      </c>
      <c r="AA55" s="113">
        <f t="shared" si="5"/>
        <v>0.59621814460511702</v>
      </c>
      <c r="AB55" s="5">
        <f t="shared" si="25"/>
        <v>0.59621814460511702</v>
      </c>
      <c r="AC55" s="80">
        <f t="shared" si="26"/>
        <v>1.9221357063403788</v>
      </c>
      <c r="AD55" s="5">
        <f t="shared" si="27"/>
        <v>0.46193327630453385</v>
      </c>
      <c r="AE55" s="5">
        <f t="shared" si="28"/>
        <v>4.7406079999999989E-2</v>
      </c>
      <c r="AF55" s="5">
        <f t="shared" si="29"/>
        <v>1.423764360400445E-2</v>
      </c>
      <c r="AG55" s="7">
        <f t="shared" si="6"/>
        <v>461.93327630453382</v>
      </c>
      <c r="AH55" s="5">
        <f t="shared" si="30"/>
        <v>1.9078980627363744</v>
      </c>
      <c r="AI55" s="7">
        <f t="shared" si="31"/>
        <v>596.218144605117</v>
      </c>
      <c r="AJ55" s="6">
        <f t="shared" si="32"/>
        <v>1.9078980627363744</v>
      </c>
      <c r="AK55" s="5">
        <f t="shared" si="47"/>
        <v>9.796840823535355</v>
      </c>
      <c r="AL55" s="5"/>
      <c r="AM55" s="7"/>
      <c r="AO55" s="18"/>
      <c r="AP55" s="4">
        <f t="shared" si="57"/>
        <v>40645</v>
      </c>
      <c r="AQ55" s="36">
        <f>+AU54</f>
        <v>0.80555555555555547</v>
      </c>
      <c r="AR55">
        <v>5000</v>
      </c>
      <c r="AT55" s="4">
        <v>40646</v>
      </c>
      <c r="AU55" s="36">
        <v>0.42986111111111108</v>
      </c>
      <c r="AV55">
        <v>4400</v>
      </c>
      <c r="AX55" s="45">
        <f t="shared" si="7"/>
        <v>961.06785317018944</v>
      </c>
      <c r="AY55" s="45">
        <f t="shared" si="8"/>
        <v>0</v>
      </c>
      <c r="AZ55" s="7">
        <f t="shared" si="9"/>
        <v>961.06785317018944</v>
      </c>
      <c r="BA55" s="18">
        <f t="shared" si="10"/>
        <v>1</v>
      </c>
      <c r="BB55" s="6">
        <f t="shared" si="11"/>
        <v>14.983333333333329</v>
      </c>
      <c r="BI55" s="91"/>
      <c r="BJ55" s="27"/>
      <c r="BK55" s="21"/>
      <c r="BL55" s="12">
        <v>40645</v>
      </c>
      <c r="BM55" s="72">
        <f t="shared" si="12"/>
        <v>0</v>
      </c>
      <c r="BN55" s="24">
        <f t="shared" si="34"/>
        <v>1</v>
      </c>
      <c r="BO55" s="21">
        <f t="shared" si="35"/>
        <v>8</v>
      </c>
      <c r="BP55" s="5">
        <v>0</v>
      </c>
      <c r="BQ55" s="7">
        <f t="shared" si="13"/>
        <v>961.06785317018944</v>
      </c>
      <c r="BR55" s="7"/>
      <c r="BS55" s="7">
        <f t="shared" si="14"/>
        <v>961.06785317018944</v>
      </c>
      <c r="BT55">
        <f t="shared" si="48"/>
        <v>3.2</v>
      </c>
      <c r="BU55">
        <f t="shared" si="49"/>
        <v>2</v>
      </c>
      <c r="BV55" s="6">
        <f t="shared" si="15"/>
        <v>1.9221357063403788</v>
      </c>
      <c r="BW55" s="6">
        <f t="shared" si="16"/>
        <v>0</v>
      </c>
      <c r="BX55" s="5">
        <f t="shared" si="17"/>
        <v>1.9221357063403788</v>
      </c>
      <c r="BY55" s="5">
        <f t="shared" si="18"/>
        <v>0.60066740823136833</v>
      </c>
      <c r="BZ55" s="5">
        <f t="shared" si="19"/>
        <v>0.60066740823136833</v>
      </c>
      <c r="CA55" s="5">
        <f t="shared" si="20"/>
        <v>1.9221357063403788</v>
      </c>
      <c r="CB55" s="7">
        <f t="shared" si="36"/>
        <v>9.7796157524349905</v>
      </c>
      <c r="CC55" s="5">
        <f t="shared" si="37"/>
        <v>0.99824177289285088</v>
      </c>
      <c r="CD55" s="7">
        <f t="shared" ref="CD55:CD60" si="58">+BO55</f>
        <v>8</v>
      </c>
      <c r="CE55" s="5">
        <f t="shared" si="38"/>
        <v>1.9221357063403788</v>
      </c>
      <c r="CF55" s="5">
        <f t="shared" si="39"/>
        <v>9.7796157524349905</v>
      </c>
      <c r="CG55">
        <f>+R55</f>
        <v>8</v>
      </c>
      <c r="CH55" s="5">
        <f t="shared" si="40"/>
        <v>1.9078980627363744</v>
      </c>
      <c r="CI55" s="5">
        <f t="shared" si="41"/>
        <v>9.796840823535355</v>
      </c>
      <c r="CJ55" s="5">
        <f t="shared" si="42"/>
        <v>1.007462476052617</v>
      </c>
      <c r="CK55" s="5">
        <f t="shared" si="43"/>
        <v>0.99824177289285088</v>
      </c>
      <c r="CL55" s="5"/>
      <c r="CM55" s="5"/>
      <c r="CN55" s="5"/>
      <c r="CO55" s="51"/>
      <c r="CQ55" s="51">
        <f t="shared" si="50"/>
        <v>4.2876755760368666E-2</v>
      </c>
      <c r="CR55" s="6">
        <v>2.6583588571428574</v>
      </c>
      <c r="CS55" t="s">
        <v>161</v>
      </c>
      <c r="CT55" s="4">
        <v>40653</v>
      </c>
      <c r="CU55" s="7">
        <f t="shared" si="51"/>
        <v>42.876755760368667</v>
      </c>
      <c r="CV55">
        <f t="shared" si="52"/>
        <v>1</v>
      </c>
      <c r="CW55" s="9">
        <f t="shared" si="53"/>
        <v>15</v>
      </c>
      <c r="CX55" s="7">
        <f t="shared" si="55"/>
        <v>898.50249584026642</v>
      </c>
      <c r="CY55" s="5">
        <f t="shared" si="54"/>
        <v>3.8524872064224766E-2</v>
      </c>
      <c r="DA55" s="5"/>
      <c r="DB55" s="126"/>
      <c r="DC55" s="127"/>
      <c r="DD55" s="129"/>
      <c r="DE55" s="17"/>
      <c r="DF55" s="128"/>
      <c r="DG55" s="128"/>
      <c r="DH55" s="87"/>
      <c r="DI55" s="17"/>
      <c r="DJ55" s="128"/>
      <c r="DK55" s="87"/>
      <c r="DL55" s="17"/>
      <c r="DM55" s="87"/>
      <c r="DN55" s="87"/>
      <c r="DO55" s="87"/>
      <c r="DP55" s="87"/>
      <c r="DQ55" s="17"/>
      <c r="DR55" s="17"/>
      <c r="DU55" s="5"/>
      <c r="DV55" s="7"/>
      <c r="DX55" s="7"/>
      <c r="DY55" s="7"/>
      <c r="DZ55" s="5"/>
    </row>
    <row r="56" spans="1:130">
      <c r="A56">
        <v>10</v>
      </c>
      <c r="B56">
        <v>6.4000000000000001E-2</v>
      </c>
      <c r="D56" s="7"/>
      <c r="F56" s="19"/>
      <c r="G56" s="39"/>
      <c r="H56" s="35"/>
      <c r="I56" s="4"/>
      <c r="J56" s="5">
        <v>5.2544399999999998E-2</v>
      </c>
      <c r="K56" s="76">
        <f t="shared" si="44"/>
        <v>52.544399999999996</v>
      </c>
      <c r="L56" s="107">
        <v>40646</v>
      </c>
      <c r="O56" s="4">
        <v>40646</v>
      </c>
      <c r="P56" s="23">
        <v>52.544399999999996</v>
      </c>
      <c r="Q56" s="24">
        <f t="shared" si="21"/>
        <v>1</v>
      </c>
      <c r="R56" s="114">
        <f t="shared" si="22"/>
        <v>9</v>
      </c>
      <c r="S56" s="39">
        <f t="shared" si="2"/>
        <v>5.2544399999999998E-2</v>
      </c>
      <c r="T56" s="5">
        <f t="shared" si="3"/>
        <v>0.94579919999999995</v>
      </c>
      <c r="U56" s="7">
        <f t="shared" si="4"/>
        <v>1380.5309734513273</v>
      </c>
      <c r="V56">
        <f t="shared" si="45"/>
        <v>3.2</v>
      </c>
      <c r="W56" s="77">
        <f t="shared" si="56"/>
        <v>2</v>
      </c>
      <c r="X56" s="6">
        <f t="shared" si="23"/>
        <v>2.7610619469026547</v>
      </c>
      <c r="Y56" s="6">
        <f t="shared" si="24"/>
        <v>7.2539171681415909E-2</v>
      </c>
      <c r="Z56" s="5">
        <f t="shared" si="46"/>
        <v>2.6885227752212386</v>
      </c>
      <c r="AA56" s="113">
        <f t="shared" si="5"/>
        <v>0.84016336725663698</v>
      </c>
      <c r="AB56" s="5">
        <f t="shared" si="25"/>
        <v>0.84016336725663721</v>
      </c>
      <c r="AC56" s="80">
        <f t="shared" si="26"/>
        <v>2.7610619469026547</v>
      </c>
      <c r="AD56" s="5">
        <f t="shared" si="27"/>
        <v>0.61313154374033996</v>
      </c>
      <c r="AE56" s="5">
        <f t="shared" si="28"/>
        <v>0.16814208</v>
      </c>
      <c r="AF56" s="5">
        <f t="shared" si="29"/>
        <v>7.2539171681415923E-2</v>
      </c>
      <c r="AG56" s="7">
        <f t="shared" si="6"/>
        <v>613.13154374033991</v>
      </c>
      <c r="AH56" s="5">
        <f t="shared" si="30"/>
        <v>2.6885227752212386</v>
      </c>
      <c r="AI56" s="7">
        <f t="shared" si="31"/>
        <v>840.163367256637</v>
      </c>
      <c r="AJ56" s="6">
        <f t="shared" si="32"/>
        <v>2.6885227752212386</v>
      </c>
      <c r="AK56" s="5">
        <f t="shared" si="47"/>
        <v>12.485363598756594</v>
      </c>
      <c r="AL56" s="5"/>
      <c r="AM56" s="7"/>
      <c r="AO56" s="18"/>
      <c r="AP56" s="4">
        <f t="shared" si="57"/>
        <v>40646</v>
      </c>
      <c r="AQ56" s="36">
        <v>0.92499999999999993</v>
      </c>
      <c r="AR56">
        <f>+AV55</f>
        <v>4400</v>
      </c>
      <c r="AT56" s="4">
        <v>40647</v>
      </c>
      <c r="AU56" s="36">
        <v>0.39583333333333331</v>
      </c>
      <c r="AV56">
        <v>3750</v>
      </c>
      <c r="AX56" s="45">
        <f t="shared" si="7"/>
        <v>1380.5309734513273</v>
      </c>
      <c r="AY56" s="45">
        <f t="shared" si="8"/>
        <v>0</v>
      </c>
      <c r="AZ56" s="7">
        <f t="shared" si="9"/>
        <v>1380.5309734513273</v>
      </c>
      <c r="BA56" s="18">
        <f t="shared" si="10"/>
        <v>1</v>
      </c>
      <c r="BB56" s="6">
        <f t="shared" si="11"/>
        <v>11.3</v>
      </c>
      <c r="BI56" s="91"/>
      <c r="BJ56" s="27"/>
      <c r="BK56" s="21"/>
      <c r="BL56" s="12">
        <v>40646</v>
      </c>
      <c r="BM56" s="72">
        <f t="shared" si="12"/>
        <v>0</v>
      </c>
      <c r="BN56" s="24">
        <f t="shared" si="34"/>
        <v>1</v>
      </c>
      <c r="BO56" s="21">
        <f t="shared" si="35"/>
        <v>9</v>
      </c>
      <c r="BP56" s="5">
        <v>0</v>
      </c>
      <c r="BQ56" s="7">
        <f t="shared" si="13"/>
        <v>1380.5309734513273</v>
      </c>
      <c r="BR56" s="7"/>
      <c r="BS56" s="7">
        <f t="shared" si="14"/>
        <v>1380.5309734513273</v>
      </c>
      <c r="BT56">
        <f t="shared" si="48"/>
        <v>3.2</v>
      </c>
      <c r="BU56">
        <f t="shared" si="49"/>
        <v>2</v>
      </c>
      <c r="BV56" s="6">
        <f t="shared" si="15"/>
        <v>2.7610619469026547</v>
      </c>
      <c r="BW56" s="6">
        <f t="shared" si="16"/>
        <v>0</v>
      </c>
      <c r="BX56" s="5">
        <f t="shared" si="17"/>
        <v>2.7610619469026547</v>
      </c>
      <c r="BY56" s="5">
        <f t="shared" si="18"/>
        <v>0.86283185840707954</v>
      </c>
      <c r="BZ56" s="5">
        <f t="shared" si="19"/>
        <v>0.86283185840707954</v>
      </c>
      <c r="CA56" s="5">
        <f t="shared" si="20"/>
        <v>2.7610619469026547</v>
      </c>
      <c r="CB56" s="7">
        <f t="shared" si="36"/>
        <v>12.540677699337646</v>
      </c>
      <c r="CC56" s="5">
        <f t="shared" si="37"/>
        <v>1.0044303155565739</v>
      </c>
      <c r="CD56" s="7">
        <f t="shared" si="58"/>
        <v>9</v>
      </c>
      <c r="CE56" s="5">
        <f t="shared" si="38"/>
        <v>2.7610619469026547</v>
      </c>
      <c r="CF56" s="5">
        <f t="shared" si="39"/>
        <v>12.540677699337646</v>
      </c>
      <c r="CG56">
        <f>+R56</f>
        <v>9</v>
      </c>
      <c r="CH56" s="5">
        <f t="shared" si="40"/>
        <v>2.6885227752212386</v>
      </c>
      <c r="CI56" s="5">
        <f t="shared" si="41"/>
        <v>12.485363598756594</v>
      </c>
      <c r="CJ56" s="5">
        <f t="shared" si="42"/>
        <v>1.0269810515834097</v>
      </c>
      <c r="CK56" s="5">
        <f t="shared" si="43"/>
        <v>1.0044303155565739</v>
      </c>
      <c r="CL56" s="5"/>
      <c r="CM56" s="5"/>
      <c r="CN56" s="5"/>
      <c r="CO56" s="51"/>
      <c r="CQ56" s="51">
        <f t="shared" si="50"/>
        <v>1.9098543778801842E-2</v>
      </c>
      <c r="CR56" s="6">
        <v>1.1841097142857142</v>
      </c>
      <c r="CS56" t="s">
        <v>162</v>
      </c>
      <c r="CT56" s="4">
        <v>40656</v>
      </c>
      <c r="CU56" s="7">
        <f t="shared" si="51"/>
        <v>19.09854377880184</v>
      </c>
      <c r="CV56">
        <f t="shared" si="52"/>
        <v>3</v>
      </c>
      <c r="CW56" s="9">
        <f t="shared" si="53"/>
        <v>18</v>
      </c>
      <c r="CX56" s="7">
        <f t="shared" si="55"/>
        <v>908.15006468305307</v>
      </c>
      <c r="CY56" s="5">
        <f t="shared" si="54"/>
        <v>1.7344343768071011E-2</v>
      </c>
      <c r="DA56" s="5"/>
      <c r="DB56" s="126"/>
      <c r="DC56" s="127"/>
      <c r="DD56" s="129"/>
      <c r="DE56" s="17"/>
      <c r="DF56" s="128"/>
      <c r="DG56" s="128"/>
      <c r="DH56" s="87"/>
      <c r="DI56" s="17"/>
      <c r="DJ56" s="128"/>
      <c r="DK56" s="87"/>
      <c r="DL56" s="17"/>
      <c r="DM56" s="87"/>
      <c r="DN56" s="87"/>
      <c r="DO56" s="87"/>
      <c r="DP56" s="87"/>
      <c r="DQ56" s="17"/>
      <c r="DR56" s="17"/>
      <c r="DU56" s="5"/>
      <c r="DV56" s="7"/>
      <c r="DX56" s="7"/>
      <c r="DY56" s="7"/>
      <c r="DZ56" s="5"/>
    </row>
    <row r="57" spans="1:130">
      <c r="A57">
        <v>11</v>
      </c>
      <c r="B57">
        <v>0.09</v>
      </c>
      <c r="C57">
        <f>AVERAGE(B57:B58)</f>
        <v>8.9499999999999996E-2</v>
      </c>
      <c r="D57" s="7"/>
      <c r="F57" s="3"/>
      <c r="G57" s="39"/>
      <c r="H57" s="48"/>
      <c r="I57" s="4"/>
      <c r="J57" s="5">
        <v>9.1352399999999986E-2</v>
      </c>
      <c r="K57" s="76">
        <f t="shared" si="44"/>
        <v>91.352399999999989</v>
      </c>
      <c r="L57" s="107">
        <v>40647</v>
      </c>
      <c r="O57" s="4">
        <v>40647</v>
      </c>
      <c r="P57" s="23">
        <v>91.352399999999989</v>
      </c>
      <c r="Q57" s="24">
        <f t="shared" si="21"/>
        <v>1</v>
      </c>
      <c r="R57" s="114">
        <f t="shared" si="22"/>
        <v>10</v>
      </c>
      <c r="S57" s="39">
        <f t="shared" si="2"/>
        <v>9.1352399999999986E-2</v>
      </c>
      <c r="T57" s="5">
        <f t="shared" si="3"/>
        <v>1.6443431999999998</v>
      </c>
      <c r="U57" s="7">
        <f t="shared" si="4"/>
        <v>929.03225806451599</v>
      </c>
      <c r="V57">
        <f t="shared" si="45"/>
        <v>3.2</v>
      </c>
      <c r="W57" s="77">
        <f t="shared" si="56"/>
        <v>2</v>
      </c>
      <c r="X57" s="6">
        <f t="shared" si="23"/>
        <v>1.8580645161290319</v>
      </c>
      <c r="Y57" s="6">
        <f t="shared" si="24"/>
        <v>8.4869326451612881E-2</v>
      </c>
      <c r="Z57" s="5">
        <f t="shared" si="46"/>
        <v>1.773195189677419</v>
      </c>
      <c r="AA57" s="113">
        <f t="shared" si="5"/>
        <v>0.55412349677419337</v>
      </c>
      <c r="AB57" s="5">
        <f t="shared" si="25"/>
        <v>0.55412349677419348</v>
      </c>
      <c r="AC57" s="80">
        <f t="shared" si="26"/>
        <v>1.8580645161290319</v>
      </c>
      <c r="AD57" s="5">
        <f t="shared" si="27"/>
        <v>0.49072190999999998</v>
      </c>
      <c r="AE57" s="5">
        <f t="shared" si="28"/>
        <v>0.29232767999999998</v>
      </c>
      <c r="AF57" s="5">
        <f t="shared" si="29"/>
        <v>8.4869326451612881E-2</v>
      </c>
      <c r="AG57" s="7">
        <f t="shared" si="6"/>
        <v>490.72190999999998</v>
      </c>
      <c r="AH57" s="5">
        <f t="shared" si="30"/>
        <v>1.773195189677419</v>
      </c>
      <c r="AI57" s="7">
        <f t="shared" si="31"/>
        <v>554.12349677419343</v>
      </c>
      <c r="AJ57" s="6">
        <f t="shared" si="32"/>
        <v>1.773195189677419</v>
      </c>
      <c r="AK57" s="5">
        <f t="shared" si="47"/>
        <v>14.258558788434012</v>
      </c>
      <c r="AL57" s="5"/>
      <c r="AM57" s="7"/>
      <c r="AO57" s="18"/>
      <c r="AP57" s="4">
        <f t="shared" si="57"/>
        <v>40647</v>
      </c>
      <c r="AQ57" s="36">
        <f>+AU56</f>
        <v>0.39583333333333331</v>
      </c>
      <c r="AR57">
        <f>+AV56</f>
        <v>3750</v>
      </c>
      <c r="AT57" s="4">
        <v>40648</v>
      </c>
      <c r="AU57" s="36">
        <v>0.47222222222222227</v>
      </c>
      <c r="AV57">
        <v>2750</v>
      </c>
      <c r="AX57" s="45">
        <f t="shared" si="7"/>
        <v>929.03225806451599</v>
      </c>
      <c r="AY57" s="45">
        <f t="shared" si="8"/>
        <v>0</v>
      </c>
      <c r="AZ57" s="7">
        <f t="shared" si="9"/>
        <v>929.03225806451599</v>
      </c>
      <c r="BA57" s="18">
        <f t="shared" si="10"/>
        <v>1</v>
      </c>
      <c r="BB57" s="6">
        <f t="shared" si="11"/>
        <v>25.833333333333336</v>
      </c>
      <c r="BI57" s="91"/>
      <c r="BJ57" s="27"/>
      <c r="BK57" s="21"/>
      <c r="BL57" s="12">
        <v>40647</v>
      </c>
      <c r="BM57" s="72">
        <f t="shared" si="12"/>
        <v>43.478260869565219</v>
      </c>
      <c r="BN57" s="24">
        <f t="shared" si="34"/>
        <v>1</v>
      </c>
      <c r="BO57" s="21">
        <f t="shared" si="35"/>
        <v>10</v>
      </c>
      <c r="BP57" s="5">
        <v>2</v>
      </c>
      <c r="BQ57" s="7">
        <f t="shared" si="13"/>
        <v>929.03225806451599</v>
      </c>
      <c r="BR57" s="7"/>
      <c r="BS57" s="7">
        <f t="shared" si="14"/>
        <v>929.03225806451599</v>
      </c>
      <c r="BT57">
        <f t="shared" si="48"/>
        <v>3.2</v>
      </c>
      <c r="BU57">
        <f t="shared" si="49"/>
        <v>2</v>
      </c>
      <c r="BV57" s="6">
        <f t="shared" si="15"/>
        <v>1.8580645161290319</v>
      </c>
      <c r="BW57" s="6">
        <f t="shared" si="16"/>
        <v>4.039270687237026E-2</v>
      </c>
      <c r="BX57" s="5">
        <f t="shared" si="17"/>
        <v>1.8176718092566617</v>
      </c>
      <c r="BY57" s="5">
        <f t="shared" si="18"/>
        <v>0.56802244039270677</v>
      </c>
      <c r="BZ57" s="5">
        <f t="shared" si="19"/>
        <v>0.56802244039270677</v>
      </c>
      <c r="CA57" s="5">
        <f t="shared" si="20"/>
        <v>1.8580645161290319</v>
      </c>
      <c r="CB57" s="7">
        <f t="shared" si="36"/>
        <v>14.398742215466678</v>
      </c>
      <c r="CC57" s="5">
        <f t="shared" si="37"/>
        <v>1.0098315284954589</v>
      </c>
      <c r="CD57" s="7">
        <f t="shared" si="58"/>
        <v>10</v>
      </c>
      <c r="CE57" s="5">
        <f t="shared" si="38"/>
        <v>1.8176718092566617</v>
      </c>
      <c r="CF57" s="5">
        <f t="shared" si="39"/>
        <v>14.398742215466678</v>
      </c>
      <c r="CG57">
        <f>+R57</f>
        <v>10</v>
      </c>
      <c r="CH57" s="5">
        <f t="shared" si="40"/>
        <v>1.773195189677419</v>
      </c>
      <c r="CI57" s="5">
        <f t="shared" si="41"/>
        <v>14.258558788434012</v>
      </c>
      <c r="CJ57" s="5">
        <f t="shared" si="42"/>
        <v>1.0250827544751766</v>
      </c>
      <c r="CK57" s="5">
        <f t="shared" si="43"/>
        <v>1.0098315284954589</v>
      </c>
      <c r="CL57" s="5"/>
      <c r="CM57" s="5"/>
      <c r="CN57" s="5"/>
      <c r="CO57" s="51"/>
      <c r="CQ57" s="51">
        <f t="shared" si="50"/>
        <v>4.6156682027649886E-4</v>
      </c>
      <c r="CR57" s="6">
        <v>2.8617142857142928E-2</v>
      </c>
      <c r="CS57" t="s">
        <v>163</v>
      </c>
      <c r="CT57" s="4">
        <v>40657</v>
      </c>
      <c r="CU57" s="7">
        <f t="shared" si="51"/>
        <v>0.46156682027649887</v>
      </c>
      <c r="CV57">
        <f t="shared" si="52"/>
        <v>1</v>
      </c>
      <c r="CW57" s="9">
        <f t="shared" si="53"/>
        <v>19</v>
      </c>
      <c r="CX57" s="7">
        <f t="shared" si="55"/>
        <v>1185.615141955836</v>
      </c>
      <c r="CY57" s="5">
        <f t="shared" si="54"/>
        <v>5.4724061114422501E-4</v>
      </c>
      <c r="DA57" s="5"/>
      <c r="DB57" s="126"/>
      <c r="DC57" s="127"/>
      <c r="DD57" s="129"/>
      <c r="DE57" s="17"/>
      <c r="DF57" s="128"/>
      <c r="DG57" s="128"/>
      <c r="DH57" s="87"/>
      <c r="DI57" s="17"/>
      <c r="DJ57" s="128"/>
      <c r="DK57" s="87"/>
      <c r="DL57" s="17"/>
      <c r="DM57" s="87"/>
      <c r="DN57" s="87"/>
      <c r="DO57" s="87"/>
      <c r="DP57" s="87"/>
      <c r="DQ57" s="17"/>
      <c r="DR57" s="17"/>
      <c r="DU57" s="5"/>
      <c r="DV57" s="7"/>
      <c r="DX57" s="7"/>
      <c r="DY57" s="7"/>
      <c r="DZ57" s="5"/>
    </row>
    <row r="58" spans="1:130">
      <c r="A58">
        <v>11</v>
      </c>
      <c r="B58">
        <v>8.8999999999999996E-2</v>
      </c>
      <c r="D58" s="7"/>
      <c r="F58" s="19"/>
      <c r="G58" s="39"/>
      <c r="H58" s="35"/>
      <c r="I58" s="4"/>
      <c r="J58" s="5">
        <v>0.19031279999999998</v>
      </c>
      <c r="K58" s="76">
        <f t="shared" si="44"/>
        <v>190.31279999999998</v>
      </c>
      <c r="L58" s="107">
        <v>40648</v>
      </c>
      <c r="O58" s="4">
        <v>40648</v>
      </c>
      <c r="P58" s="23">
        <v>190.31279999999998</v>
      </c>
      <c r="Q58" s="24">
        <f t="shared" si="21"/>
        <v>1</v>
      </c>
      <c r="R58" s="114">
        <f t="shared" si="22"/>
        <v>11</v>
      </c>
      <c r="S58" s="39">
        <f t="shared" si="2"/>
        <v>0.19031279999999998</v>
      </c>
      <c r="T58" s="5">
        <f t="shared" si="3"/>
        <v>3.4256303999999997</v>
      </c>
      <c r="U58" s="7">
        <f t="shared" si="4"/>
        <v>1077.1653543307086</v>
      </c>
      <c r="V58">
        <f t="shared" si="45"/>
        <v>3.2</v>
      </c>
      <c r="W58" s="77">
        <f t="shared" si="56"/>
        <v>2</v>
      </c>
      <c r="X58" s="6">
        <f t="shared" si="23"/>
        <v>2.1543307086614174</v>
      </c>
      <c r="Y58" s="6">
        <f t="shared" si="24"/>
        <v>0.20499835464566926</v>
      </c>
      <c r="Z58" s="5">
        <f t="shared" si="46"/>
        <v>1.9493323540157481</v>
      </c>
      <c r="AA58" s="113">
        <f t="shared" si="5"/>
        <v>0.60916636062992124</v>
      </c>
      <c r="AB58" s="5">
        <f t="shared" si="25"/>
        <v>0.60916636062992113</v>
      </c>
      <c r="AC58" s="80">
        <f t="shared" si="26"/>
        <v>2.1543307086614174</v>
      </c>
      <c r="AD58" s="5">
        <f t="shared" si="27"/>
        <v>0.57202801060382913</v>
      </c>
      <c r="AE58" s="5">
        <f t="shared" si="28"/>
        <v>0.60900095999999992</v>
      </c>
      <c r="AF58" s="5">
        <f t="shared" si="29"/>
        <v>0.20499835464566929</v>
      </c>
      <c r="AG58" s="7">
        <f t="shared" si="6"/>
        <v>572.0280106038291</v>
      </c>
      <c r="AH58" s="5">
        <f t="shared" si="30"/>
        <v>1.9493323540157481</v>
      </c>
      <c r="AI58" s="7">
        <f t="shared" si="31"/>
        <v>609.1663606299212</v>
      </c>
      <c r="AJ58" s="6">
        <f t="shared" si="32"/>
        <v>1.9493323540157481</v>
      </c>
      <c r="AK58" s="5">
        <f t="shared" si="47"/>
        <v>16.20789114244976</v>
      </c>
      <c r="AL58" s="5"/>
      <c r="AM58" s="7"/>
      <c r="AO58" s="18"/>
      <c r="AP58" s="4">
        <f t="shared" si="57"/>
        <v>40648</v>
      </c>
      <c r="AQ58" s="36">
        <f>+AU57</f>
        <v>0.47222222222222227</v>
      </c>
      <c r="AR58">
        <f>+AV57</f>
        <v>2750</v>
      </c>
      <c r="AT58" s="4">
        <v>40649</v>
      </c>
      <c r="AU58" s="36">
        <v>0.35416666666666669</v>
      </c>
      <c r="AV58">
        <v>1800</v>
      </c>
      <c r="AX58" s="45">
        <f t="shared" si="7"/>
        <v>1077.1653543307086</v>
      </c>
      <c r="AY58" s="45">
        <f t="shared" si="8"/>
        <v>0</v>
      </c>
      <c r="AZ58" s="7">
        <f t="shared" si="9"/>
        <v>1077.1653543307086</v>
      </c>
      <c r="BA58" s="18">
        <f t="shared" si="10"/>
        <v>1</v>
      </c>
      <c r="BB58" s="6">
        <f t="shared" si="11"/>
        <v>21.166666666666668</v>
      </c>
      <c r="BI58" s="91"/>
      <c r="BJ58" s="27"/>
      <c r="BK58" s="21"/>
      <c r="BL58" s="12">
        <v>40648</v>
      </c>
      <c r="BM58" s="72">
        <f t="shared" si="12"/>
        <v>0</v>
      </c>
      <c r="BN58" s="24">
        <f t="shared" si="34"/>
        <v>1</v>
      </c>
      <c r="BO58" s="21">
        <f t="shared" si="35"/>
        <v>11</v>
      </c>
      <c r="BP58" s="5">
        <v>0</v>
      </c>
      <c r="BQ58" s="7">
        <f t="shared" si="13"/>
        <v>1077.1653543307086</v>
      </c>
      <c r="BR58" s="7"/>
      <c r="BS58" s="7">
        <f t="shared" si="14"/>
        <v>1077.1653543307086</v>
      </c>
      <c r="BT58">
        <f t="shared" si="48"/>
        <v>3.2</v>
      </c>
      <c r="BU58">
        <f t="shared" si="49"/>
        <v>2</v>
      </c>
      <c r="BV58" s="6">
        <f t="shared" si="15"/>
        <v>2.1543307086614174</v>
      </c>
      <c r="BW58" s="6">
        <f t="shared" si="16"/>
        <v>0</v>
      </c>
      <c r="BX58" s="5">
        <f t="shared" si="17"/>
        <v>2.1543307086614174</v>
      </c>
      <c r="BY58" s="5">
        <f t="shared" si="18"/>
        <v>0.67322834645669294</v>
      </c>
      <c r="BZ58" s="5">
        <f t="shared" si="19"/>
        <v>0.67322834645669294</v>
      </c>
      <c r="CA58" s="5">
        <f t="shared" si="20"/>
        <v>2.1543307086614174</v>
      </c>
      <c r="CB58" s="7">
        <f t="shared" si="36"/>
        <v>16.553072924128095</v>
      </c>
      <c r="CC58" s="5">
        <f t="shared" si="37"/>
        <v>1.02129714338803</v>
      </c>
      <c r="CD58" s="7">
        <f t="shared" si="58"/>
        <v>11</v>
      </c>
      <c r="CE58" s="5">
        <f t="shared" si="38"/>
        <v>2.1543307086614174</v>
      </c>
      <c r="CF58" s="5">
        <f t="shared" si="39"/>
        <v>16.553072924128095</v>
      </c>
      <c r="CG58">
        <f>+R58</f>
        <v>11</v>
      </c>
      <c r="CH58" s="5">
        <f t="shared" si="40"/>
        <v>1.9493323540157481</v>
      </c>
      <c r="CI58" s="5">
        <f t="shared" si="41"/>
        <v>16.20789114244976</v>
      </c>
      <c r="CJ58" s="5">
        <f t="shared" si="42"/>
        <v>1.1051633674593047</v>
      </c>
      <c r="CK58" s="5">
        <f t="shared" si="43"/>
        <v>1.02129714338803</v>
      </c>
      <c r="CL58" s="5"/>
      <c r="CM58" s="5"/>
      <c r="CN58" s="5"/>
      <c r="CO58" s="51"/>
      <c r="CQ58" s="51">
        <f t="shared" si="50"/>
        <v>2.4882433179723506E-2</v>
      </c>
      <c r="CR58" s="6">
        <v>1.5427108571428574</v>
      </c>
      <c r="CS58" t="s">
        <v>164</v>
      </c>
      <c r="CT58" s="4">
        <v>40658</v>
      </c>
      <c r="CU58" s="7">
        <f t="shared" si="51"/>
        <v>24.882433179723506</v>
      </c>
      <c r="CV58">
        <f t="shared" si="52"/>
        <v>1</v>
      </c>
      <c r="CW58" s="9">
        <f t="shared" si="53"/>
        <v>20</v>
      </c>
      <c r="CX58" s="7">
        <f t="shared" si="55"/>
        <v>903.38770388958596</v>
      </c>
      <c r="CY58" s="5">
        <f t="shared" si="54"/>
        <v>2.2478484177416467E-2</v>
      </c>
      <c r="DA58" s="5"/>
      <c r="DB58" s="130"/>
      <c r="DC58" s="127"/>
      <c r="DD58" s="129"/>
      <c r="DE58" s="17"/>
      <c r="DF58" s="128"/>
      <c r="DG58" s="128"/>
      <c r="DH58" s="87"/>
      <c r="DI58" s="17"/>
      <c r="DJ58" s="128"/>
      <c r="DK58" s="87"/>
      <c r="DL58" s="17"/>
      <c r="DM58" s="87"/>
      <c r="DN58" s="87"/>
      <c r="DO58" s="87"/>
      <c r="DP58" s="87"/>
      <c r="DQ58" s="17"/>
      <c r="DR58" s="17"/>
      <c r="DU58" s="5"/>
      <c r="DV58" s="7"/>
      <c r="DX58" s="7"/>
      <c r="DY58" s="7"/>
      <c r="DZ58" s="5"/>
    </row>
    <row r="59" spans="1:130">
      <c r="A59">
        <v>12</v>
      </c>
      <c r="B59">
        <v>6.3E-2</v>
      </c>
      <c r="C59">
        <f>AVERAGE(B59:B60)</f>
        <v>6.2E-2</v>
      </c>
      <c r="D59" s="7"/>
      <c r="F59" s="3"/>
      <c r="G59" s="39"/>
      <c r="H59" s="48"/>
      <c r="I59" s="4"/>
      <c r="J59" s="5"/>
      <c r="K59" s="76">
        <f t="shared" si="44"/>
        <v>0</v>
      </c>
      <c r="L59" s="107">
        <v>40649</v>
      </c>
      <c r="M59" s="76">
        <v>18.981000000000002</v>
      </c>
      <c r="N59" s="94">
        <v>40649</v>
      </c>
      <c r="O59" s="4">
        <v>40649</v>
      </c>
      <c r="P59" s="23">
        <v>18.981000000000002</v>
      </c>
      <c r="Q59" s="24">
        <f t="shared" si="21"/>
        <v>1</v>
      </c>
      <c r="R59" s="114">
        <f t="shared" si="22"/>
        <v>12</v>
      </c>
      <c r="S59" s="39">
        <f t="shared" si="2"/>
        <v>1.8981000000000001E-2</v>
      </c>
      <c r="T59" s="5">
        <f t="shared" si="3"/>
        <v>0.34165800000000002</v>
      </c>
      <c r="U59" s="7">
        <f t="shared" si="4"/>
        <v>694.81302774427013</v>
      </c>
      <c r="V59">
        <f t="shared" si="45"/>
        <v>3.2</v>
      </c>
      <c r="W59" s="77">
        <v>2</v>
      </c>
      <c r="X59" s="6">
        <f t="shared" si="23"/>
        <v>1.3896260554885402</v>
      </c>
      <c r="Y59" s="6">
        <f t="shared" si="24"/>
        <v>1.3188246079613993E-2</v>
      </c>
      <c r="Z59" s="5">
        <f t="shared" si="46"/>
        <v>1.3764378094089262</v>
      </c>
      <c r="AA59" s="113">
        <f t="shared" si="5"/>
        <v>0.43013681544028942</v>
      </c>
      <c r="AB59" s="5">
        <f t="shared" si="25"/>
        <v>0.43013681544028942</v>
      </c>
      <c r="AC59" s="80">
        <f t="shared" si="26"/>
        <v>1.3896260554885402</v>
      </c>
      <c r="AD59" s="5">
        <f t="shared" si="27"/>
        <v>0.51315095262636268</v>
      </c>
      <c r="AE59" s="5">
        <f t="shared" si="28"/>
        <v>6.0739200000000014E-2</v>
      </c>
      <c r="AF59" s="5">
        <f t="shared" si="29"/>
        <v>1.3188246079613993E-2</v>
      </c>
      <c r="AG59" s="7">
        <f t="shared" si="6"/>
        <v>513.15095262636271</v>
      </c>
      <c r="AH59" s="5">
        <f t="shared" si="30"/>
        <v>1.3764378094089262</v>
      </c>
      <c r="AI59" s="7">
        <f t="shared" si="31"/>
        <v>430.13681544028947</v>
      </c>
      <c r="AJ59" s="6">
        <f t="shared" si="32"/>
        <v>1.3764378094089262</v>
      </c>
      <c r="AK59" s="5">
        <f t="shared" si="47"/>
        <v>17.584328951858687</v>
      </c>
      <c r="AL59" s="5"/>
      <c r="AM59" s="7"/>
      <c r="AO59" s="18"/>
      <c r="AP59" s="4">
        <f t="shared" si="57"/>
        <v>40649</v>
      </c>
      <c r="AQ59" s="36">
        <f>+AU58</f>
        <v>0.35416666666666669</v>
      </c>
      <c r="AR59">
        <f>+AV58</f>
        <v>1800</v>
      </c>
      <c r="AT59" s="4">
        <v>40650</v>
      </c>
      <c r="AU59" s="36">
        <v>0.50555555555555554</v>
      </c>
      <c r="AV59">
        <v>1000</v>
      </c>
      <c r="AX59" s="45">
        <f t="shared" si="7"/>
        <v>694.81302774427013</v>
      </c>
      <c r="AY59" s="45">
        <f t="shared" si="8"/>
        <v>0</v>
      </c>
      <c r="AZ59" s="7">
        <f t="shared" si="9"/>
        <v>694.81302774427013</v>
      </c>
      <c r="BA59" s="18">
        <f t="shared" si="10"/>
        <v>1</v>
      </c>
      <c r="BB59" s="6">
        <f t="shared" si="11"/>
        <v>27.633333333333333</v>
      </c>
      <c r="BI59" s="91"/>
      <c r="BJ59" s="99">
        <v>0</v>
      </c>
      <c r="BK59" s="94">
        <v>40649</v>
      </c>
      <c r="BL59" s="12">
        <v>40649</v>
      </c>
      <c r="BM59" s="72">
        <f t="shared" si="12"/>
        <v>0</v>
      </c>
      <c r="BN59" s="24">
        <f t="shared" si="34"/>
        <v>1</v>
      </c>
      <c r="BO59" s="21">
        <f t="shared" si="35"/>
        <v>12</v>
      </c>
      <c r="BP59" s="5">
        <v>0</v>
      </c>
      <c r="BQ59" s="7">
        <f t="shared" si="13"/>
        <v>694.81302774427013</v>
      </c>
      <c r="BR59" s="7"/>
      <c r="BS59" s="7">
        <f t="shared" si="14"/>
        <v>694.81302774427013</v>
      </c>
      <c r="BT59">
        <f t="shared" ref="BT59:BT90" si="59">+BT58</f>
        <v>3.2</v>
      </c>
      <c r="BU59">
        <v>2</v>
      </c>
      <c r="BV59" s="6">
        <f t="shared" si="15"/>
        <v>1.3896260554885402</v>
      </c>
      <c r="BW59" s="6">
        <f t="shared" si="16"/>
        <v>0</v>
      </c>
      <c r="BX59" s="5">
        <f t="shared" si="17"/>
        <v>1.3896260554885402</v>
      </c>
      <c r="BY59" s="5">
        <f t="shared" si="18"/>
        <v>0.4342581423401688</v>
      </c>
      <c r="BZ59" s="5">
        <f t="shared" si="19"/>
        <v>0.4342581423401688</v>
      </c>
      <c r="CA59" s="5">
        <f t="shared" si="20"/>
        <v>1.3896260554885402</v>
      </c>
      <c r="CB59" s="7">
        <f t="shared" si="36"/>
        <v>17.942698979616637</v>
      </c>
      <c r="CC59" s="5">
        <f t="shared" si="37"/>
        <v>1.020380079827844</v>
      </c>
      <c r="CD59" s="7">
        <f t="shared" si="58"/>
        <v>12</v>
      </c>
      <c r="CE59" s="5">
        <f t="shared" si="38"/>
        <v>1.3896260554885402</v>
      </c>
      <c r="CF59" s="5">
        <f t="shared" si="39"/>
        <v>17.942698979616637</v>
      </c>
      <c r="CG59">
        <f>+R59</f>
        <v>12</v>
      </c>
      <c r="CH59" s="5">
        <f t="shared" si="40"/>
        <v>1.3764378094089262</v>
      </c>
      <c r="CI59" s="5">
        <f t="shared" si="41"/>
        <v>17.584328951858687</v>
      </c>
      <c r="CJ59" s="5">
        <f t="shared" si="42"/>
        <v>1.0095814325859571</v>
      </c>
      <c r="CK59" s="5">
        <f t="shared" si="43"/>
        <v>1.020380079827844</v>
      </c>
      <c r="CL59" s="5"/>
      <c r="CM59" s="5"/>
      <c r="CN59" s="5"/>
      <c r="CO59" s="51"/>
      <c r="CQ59" s="51">
        <f t="shared" si="50"/>
        <v>1.9711967741935482E-2</v>
      </c>
      <c r="CR59" s="6">
        <v>1.2221419999999998</v>
      </c>
      <c r="CS59" t="s">
        <v>165</v>
      </c>
      <c r="CT59" s="4">
        <v>40662</v>
      </c>
      <c r="CU59" s="7">
        <f t="shared" si="51"/>
        <v>19.711967741935482</v>
      </c>
      <c r="CV59">
        <f t="shared" si="52"/>
        <v>4</v>
      </c>
      <c r="CW59" s="9">
        <f t="shared" si="53"/>
        <v>24</v>
      </c>
      <c r="CX59" s="7">
        <f t="shared" si="55"/>
        <v>886.95652173913027</v>
      </c>
      <c r="CY59" s="5">
        <f t="shared" si="54"/>
        <v>1.7483658345021035E-2</v>
      </c>
      <c r="DA59" s="5"/>
      <c r="DB59" s="126"/>
      <c r="DC59" s="127"/>
      <c r="DD59" s="129"/>
      <c r="DE59" s="17"/>
      <c r="DF59" s="128"/>
      <c r="DG59" s="128"/>
      <c r="DH59" s="87"/>
      <c r="DI59" s="17"/>
      <c r="DJ59" s="128"/>
      <c r="DK59" s="87"/>
      <c r="DL59" s="17"/>
      <c r="DM59" s="87"/>
      <c r="DN59" s="87"/>
      <c r="DO59" s="87"/>
      <c r="DP59" s="87"/>
      <c r="DQ59" s="17"/>
      <c r="DR59" s="17"/>
      <c r="DU59" s="5"/>
      <c r="DV59" s="7"/>
      <c r="DX59" s="7"/>
      <c r="DY59" s="7"/>
      <c r="DZ59" s="5"/>
    </row>
    <row r="60" spans="1:130">
      <c r="A60">
        <v>12</v>
      </c>
      <c r="B60">
        <v>6.0999999999999999E-2</v>
      </c>
      <c r="D60" s="7"/>
      <c r="F60" s="19"/>
      <c r="G60" s="39"/>
      <c r="H60" s="35"/>
      <c r="I60" s="4"/>
      <c r="J60" s="5">
        <v>0.02</v>
      </c>
      <c r="K60" s="76">
        <f t="shared" si="44"/>
        <v>20</v>
      </c>
      <c r="L60" s="107">
        <v>40650</v>
      </c>
      <c r="M60" s="76">
        <v>34.707999999999998</v>
      </c>
      <c r="N60" s="94">
        <v>40650</v>
      </c>
      <c r="O60" s="4">
        <v>40650</v>
      </c>
      <c r="P60" s="23">
        <v>35</v>
      </c>
      <c r="Q60" s="24">
        <f t="shared" si="21"/>
        <v>1</v>
      </c>
      <c r="R60" s="114">
        <f t="shared" si="22"/>
        <v>13</v>
      </c>
      <c r="S60" s="39">
        <f t="shared" si="2"/>
        <v>3.5000000000000003E-2</v>
      </c>
      <c r="T60" s="5">
        <f t="shared" si="3"/>
        <v>0.63</v>
      </c>
      <c r="U60" s="7">
        <f t="shared" si="4"/>
        <v>424.77876106194697</v>
      </c>
      <c r="V60">
        <f t="shared" si="45"/>
        <v>3.2</v>
      </c>
      <c r="W60" s="77">
        <v>3</v>
      </c>
      <c r="X60" s="6">
        <f t="shared" si="23"/>
        <v>1.2743362831858407</v>
      </c>
      <c r="Y60" s="6">
        <f t="shared" si="24"/>
        <v>1.4867256637168143E-2</v>
      </c>
      <c r="Z60" s="5">
        <f t="shared" si="46"/>
        <v>1.2594690265486725</v>
      </c>
      <c r="AA60" s="113">
        <f t="shared" si="5"/>
        <v>0.39358407079646013</v>
      </c>
      <c r="AB60" s="5">
        <f t="shared" si="25"/>
        <v>0.39358407079646024</v>
      </c>
      <c r="AC60" s="80">
        <f t="shared" si="26"/>
        <v>1.2743362831858407</v>
      </c>
      <c r="AD60" s="5">
        <f t="shared" si="27"/>
        <v>0.36831916406249993</v>
      </c>
      <c r="AE60" s="5">
        <f t="shared" si="28"/>
        <v>0.112</v>
      </c>
      <c r="AF60" s="5">
        <f t="shared" si="29"/>
        <v>1.4867256637168143E-2</v>
      </c>
      <c r="AG60" s="7">
        <f t="shared" si="6"/>
        <v>368.31916406249991</v>
      </c>
      <c r="AH60" s="5">
        <f t="shared" si="30"/>
        <v>1.2594690265486725</v>
      </c>
      <c r="AI60" s="7">
        <f t="shared" si="31"/>
        <v>393.58407079646014</v>
      </c>
      <c r="AJ60" s="6">
        <f t="shared" si="32"/>
        <v>1.2594690265486725</v>
      </c>
      <c r="AK60" s="5">
        <f t="shared" si="47"/>
        <v>18.843797978407359</v>
      </c>
      <c r="AL60" s="5"/>
      <c r="AM60" s="7"/>
      <c r="AO60" s="18"/>
      <c r="AP60" s="4">
        <f t="shared" si="57"/>
        <v>40650</v>
      </c>
      <c r="AQ60" s="36">
        <v>0.4201388888888889</v>
      </c>
      <c r="AR60">
        <v>4250</v>
      </c>
      <c r="AT60" s="4">
        <v>40652</v>
      </c>
      <c r="AU60" s="36">
        <v>0.77430555555555547</v>
      </c>
      <c r="AV60">
        <v>3250</v>
      </c>
      <c r="AX60" s="45">
        <f t="shared" si="7"/>
        <v>424.77876106194697</v>
      </c>
      <c r="AY60" s="45">
        <f t="shared" si="8"/>
        <v>0</v>
      </c>
      <c r="AZ60" s="7">
        <f t="shared" si="9"/>
        <v>424.77876106194697</v>
      </c>
      <c r="BA60" s="18">
        <f t="shared" si="10"/>
        <v>2</v>
      </c>
      <c r="BB60" s="6">
        <f t="shared" si="11"/>
        <v>56.499999999999993</v>
      </c>
      <c r="BI60" s="91"/>
      <c r="BJ60" s="99">
        <v>0</v>
      </c>
      <c r="BK60" s="94">
        <v>40650</v>
      </c>
      <c r="BL60" s="12">
        <v>40650</v>
      </c>
      <c r="BM60" s="72">
        <f t="shared" si="12"/>
        <v>0</v>
      </c>
      <c r="BN60" s="24">
        <f t="shared" si="34"/>
        <v>1</v>
      </c>
      <c r="BO60" s="21">
        <f t="shared" si="35"/>
        <v>13</v>
      </c>
      <c r="BP60" s="5">
        <v>0</v>
      </c>
      <c r="BQ60" s="7">
        <f t="shared" si="13"/>
        <v>424.77876106194697</v>
      </c>
      <c r="BR60" s="7"/>
      <c r="BS60" s="7">
        <f t="shared" si="14"/>
        <v>424.77876106194697</v>
      </c>
      <c r="BT60">
        <f t="shared" si="59"/>
        <v>3.2</v>
      </c>
      <c r="BU60">
        <v>3</v>
      </c>
      <c r="BV60" s="6">
        <f t="shared" si="15"/>
        <v>1.2743362831858407</v>
      </c>
      <c r="BW60" s="6">
        <f t="shared" si="16"/>
        <v>0</v>
      </c>
      <c r="BX60" s="5">
        <f t="shared" si="17"/>
        <v>1.2743362831858407</v>
      </c>
      <c r="BY60" s="5">
        <f t="shared" si="18"/>
        <v>0.39823008849557517</v>
      </c>
      <c r="BZ60" s="5">
        <f t="shared" si="19"/>
        <v>0.39823008849557517</v>
      </c>
      <c r="CA60" s="5">
        <f t="shared" si="20"/>
        <v>1.2743362831858407</v>
      </c>
      <c r="CB60" s="7">
        <f t="shared" si="36"/>
        <v>19.217035262802476</v>
      </c>
      <c r="CC60" s="5">
        <f t="shared" si="37"/>
        <v>1.0198069033017017</v>
      </c>
      <c r="CD60" s="7">
        <f t="shared" si="58"/>
        <v>13</v>
      </c>
      <c r="CE60" s="5">
        <f t="shared" si="38"/>
        <v>1.2743362831858407</v>
      </c>
      <c r="CF60" s="5">
        <f t="shared" si="39"/>
        <v>19.217035262802476</v>
      </c>
      <c r="CG60">
        <v>13</v>
      </c>
      <c r="CH60" s="5">
        <f t="shared" si="40"/>
        <v>1.2594690265486725</v>
      </c>
      <c r="CI60" s="5">
        <f t="shared" si="41"/>
        <v>18.843797978407359</v>
      </c>
      <c r="CJ60" s="5">
        <f t="shared" si="42"/>
        <v>1.0118043844856661</v>
      </c>
      <c r="CK60" s="5">
        <f t="shared" si="43"/>
        <v>1.0198069033017017</v>
      </c>
      <c r="CL60" s="5"/>
      <c r="CM60" s="5"/>
      <c r="CN60" s="5"/>
      <c r="CO60" s="51"/>
      <c r="CQ60" s="51">
        <f t="shared" si="50"/>
        <v>9.5198709677419367E-3</v>
      </c>
      <c r="CR60" s="6">
        <v>0.59023200000000009</v>
      </c>
      <c r="CS60" t="s">
        <v>166</v>
      </c>
      <c r="CT60" s="4">
        <v>40663</v>
      </c>
      <c r="CU60" s="7">
        <f t="shared" si="51"/>
        <v>9.5198709677419373</v>
      </c>
      <c r="CV60">
        <f t="shared" si="52"/>
        <v>1</v>
      </c>
      <c r="CW60" s="9">
        <f t="shared" si="53"/>
        <v>25</v>
      </c>
      <c r="CX60" s="7">
        <f t="shared" si="55"/>
        <v>83.720930232558146</v>
      </c>
      <c r="CY60" s="5">
        <f t="shared" si="54"/>
        <v>7.970124531132785E-4</v>
      </c>
      <c r="DA60" s="5"/>
      <c r="DB60" s="126"/>
      <c r="DC60" s="127"/>
      <c r="DD60" s="129"/>
      <c r="DE60" s="17"/>
      <c r="DF60" s="128"/>
      <c r="DG60" s="128"/>
      <c r="DH60" s="87"/>
      <c r="DI60" s="17"/>
      <c r="DJ60" s="128"/>
      <c r="DK60" s="87"/>
      <c r="DL60" s="17"/>
      <c r="DM60" s="87"/>
      <c r="DN60" s="87"/>
      <c r="DO60" s="87"/>
      <c r="DP60" s="87"/>
      <c r="DQ60" s="17"/>
      <c r="DR60" s="17"/>
      <c r="DU60" s="5"/>
      <c r="DV60" s="7"/>
      <c r="DX60" s="7"/>
      <c r="DY60" s="7"/>
      <c r="DZ60" s="5"/>
    </row>
    <row r="61" spans="1:130">
      <c r="A61">
        <v>13</v>
      </c>
      <c r="B61">
        <v>5.5E-2</v>
      </c>
      <c r="C61">
        <f>AVERAGE(B61:B62)</f>
        <v>5.6000000000000001E-2</v>
      </c>
      <c r="D61" s="7"/>
      <c r="F61" s="3"/>
      <c r="G61" s="39"/>
      <c r="H61" s="48"/>
      <c r="I61" s="4"/>
      <c r="J61" s="5">
        <v>0.2</v>
      </c>
      <c r="K61" s="76">
        <f t="shared" si="44"/>
        <v>200</v>
      </c>
      <c r="L61" s="107">
        <v>40651</v>
      </c>
      <c r="M61" s="105">
        <v>599.63699999999994</v>
      </c>
      <c r="N61" s="106">
        <v>40652</v>
      </c>
      <c r="O61" s="4">
        <v>40651</v>
      </c>
      <c r="P61" s="23">
        <v>200</v>
      </c>
      <c r="Q61" s="24">
        <f t="shared" si="21"/>
        <v>1</v>
      </c>
      <c r="R61" s="114">
        <f t="shared" si="22"/>
        <v>14</v>
      </c>
      <c r="S61" s="39">
        <f t="shared" si="2"/>
        <v>0.2</v>
      </c>
      <c r="T61" s="5">
        <f t="shared" si="3"/>
        <v>3.6</v>
      </c>
      <c r="U61" s="7">
        <f t="shared" si="4"/>
        <v>424.77876106194697</v>
      </c>
      <c r="V61">
        <f t="shared" si="45"/>
        <v>3.2</v>
      </c>
      <c r="W61" s="77">
        <f>+W60</f>
        <v>3</v>
      </c>
      <c r="X61" s="6">
        <f t="shared" si="23"/>
        <v>1.2743362831858407</v>
      </c>
      <c r="Y61" s="6">
        <f t="shared" si="24"/>
        <v>8.4955752212389393E-2</v>
      </c>
      <c r="Z61" s="5">
        <f t="shared" si="46"/>
        <v>1.1893805309734513</v>
      </c>
      <c r="AA61" s="113">
        <f t="shared" si="5"/>
        <v>0.37168141592920351</v>
      </c>
      <c r="AB61" s="5">
        <f t="shared" si="25"/>
        <v>0.37168141592920351</v>
      </c>
      <c r="AC61" s="80">
        <f t="shared" si="26"/>
        <v>1.2743362831858407</v>
      </c>
      <c r="AD61" s="5">
        <f t="shared" si="27"/>
        <v>0.38246093749999999</v>
      </c>
      <c r="AE61" s="5">
        <f t="shared" si="28"/>
        <v>0.64</v>
      </c>
      <c r="AF61" s="5">
        <f t="shared" si="29"/>
        <v>8.4955752212389379E-2</v>
      </c>
      <c r="AG61" s="7">
        <f t="shared" si="6"/>
        <v>382.4609375</v>
      </c>
      <c r="AH61" s="5">
        <f t="shared" si="30"/>
        <v>1.1893805309734513</v>
      </c>
      <c r="AI61" s="7">
        <f t="shared" si="31"/>
        <v>371.68141592920352</v>
      </c>
      <c r="AJ61" s="6">
        <f t="shared" si="32"/>
        <v>1.1893805309734513</v>
      </c>
      <c r="AK61" s="5">
        <f t="shared" si="47"/>
        <v>20.033178509380811</v>
      </c>
      <c r="AL61" s="5"/>
      <c r="AM61" s="7"/>
      <c r="AO61" s="18"/>
      <c r="AP61" s="4">
        <f t="shared" si="57"/>
        <v>40652</v>
      </c>
      <c r="AQ61" s="36">
        <f t="shared" ref="AQ61:AR63" si="60">+AU60</f>
        <v>0.77430555555555547</v>
      </c>
      <c r="AR61">
        <f t="shared" si="60"/>
        <v>3250</v>
      </c>
      <c r="AT61" s="4">
        <v>40653</v>
      </c>
      <c r="AU61" s="36">
        <v>0.6777777777777777</v>
      </c>
      <c r="AV61">
        <v>3250</v>
      </c>
      <c r="AX61" s="45">
        <f t="shared" si="7"/>
        <v>0</v>
      </c>
      <c r="AY61" s="45">
        <f t="shared" si="8"/>
        <v>0</v>
      </c>
      <c r="AZ61" s="7">
        <f t="shared" si="9"/>
        <v>0</v>
      </c>
      <c r="BA61" s="18">
        <f t="shared" si="10"/>
        <v>1</v>
      </c>
      <c r="BB61" s="6">
        <f t="shared" si="11"/>
        <v>21.683333333333334</v>
      </c>
      <c r="BI61" s="91"/>
      <c r="BJ61" s="99">
        <v>0</v>
      </c>
      <c r="BK61" s="94">
        <v>40652</v>
      </c>
      <c r="BL61" s="12">
        <v>40652</v>
      </c>
      <c r="BM61" s="72">
        <f t="shared" si="12"/>
        <v>5</v>
      </c>
      <c r="BN61" s="24">
        <f t="shared" si="34"/>
        <v>2</v>
      </c>
      <c r="BO61" s="21">
        <f t="shared" si="35"/>
        <v>15</v>
      </c>
      <c r="BP61" s="5">
        <v>0.23</v>
      </c>
      <c r="BQ61" s="40">
        <v>600</v>
      </c>
      <c r="BR61" s="7"/>
      <c r="BS61" s="7">
        <v>600</v>
      </c>
      <c r="BT61">
        <f t="shared" si="59"/>
        <v>3.2</v>
      </c>
      <c r="BU61">
        <f t="shared" ref="BU61:BU66" si="61">+BU60</f>
        <v>3</v>
      </c>
      <c r="BV61" s="6">
        <f t="shared" si="15"/>
        <v>1.8</v>
      </c>
      <c r="BW61" s="6">
        <f t="shared" si="16"/>
        <v>3.0000000000000001E-3</v>
      </c>
      <c r="BX61" s="5">
        <f t="shared" si="17"/>
        <v>1.7970000000000002</v>
      </c>
      <c r="BY61" s="5">
        <f t="shared" si="18"/>
        <v>0.56156249999999996</v>
      </c>
      <c r="BZ61" s="5">
        <f t="shared" si="19"/>
        <v>0.56156249999999996</v>
      </c>
      <c r="CA61" s="5">
        <f t="shared" si="20"/>
        <v>3.6</v>
      </c>
      <c r="CB61" s="7">
        <f t="shared" si="36"/>
        <v>22.817035262802477</v>
      </c>
      <c r="CC61" s="5">
        <f t="shared" si="37"/>
        <v>1.1389623095565233</v>
      </c>
      <c r="CD61" s="7">
        <v>16</v>
      </c>
      <c r="CE61" s="5">
        <f t="shared" si="38"/>
        <v>2.6955074875207994</v>
      </c>
      <c r="CF61" s="5">
        <f t="shared" si="39"/>
        <v>25.512542750323277</v>
      </c>
      <c r="CG61">
        <f t="shared" ref="CG61:CG69" si="62">+R62</f>
        <v>16</v>
      </c>
      <c r="CH61" s="5">
        <f t="shared" si="40"/>
        <v>2.4259567387687193</v>
      </c>
      <c r="CI61" s="5">
        <f t="shared" si="41"/>
        <v>24.885091986918248</v>
      </c>
      <c r="CJ61" s="5">
        <f t="shared" si="42"/>
        <v>1.1111111111111112</v>
      </c>
      <c r="CK61" s="5">
        <f t="shared" si="43"/>
        <v>1.0252139218024539</v>
      </c>
      <c r="CL61" s="5"/>
      <c r="CM61" s="5"/>
      <c r="CN61" s="5"/>
      <c r="CO61" s="51"/>
      <c r="CQ61" s="51">
        <f t="shared" si="50"/>
        <v>5.8140627322729281E-3</v>
      </c>
      <c r="CR61" s="6">
        <v>0.36047188940092156</v>
      </c>
      <c r="CS61" s="132">
        <v>40665</v>
      </c>
      <c r="CT61" s="4">
        <v>40665</v>
      </c>
      <c r="CU61" s="7">
        <f t="shared" si="51"/>
        <v>5.8140627322729284</v>
      </c>
      <c r="CV61">
        <f t="shared" si="52"/>
        <v>2</v>
      </c>
      <c r="CW61" s="9">
        <f t="shared" si="53"/>
        <v>27</v>
      </c>
      <c r="CX61" s="7">
        <f t="shared" si="55"/>
        <v>751.38121546961327</v>
      </c>
      <c r="CY61" s="5">
        <f t="shared" si="54"/>
        <v>4.3685775225918129E-3</v>
      </c>
      <c r="DA61" s="5"/>
      <c r="DB61" s="126"/>
      <c r="DC61" s="127"/>
      <c r="DD61" s="129"/>
      <c r="DE61" s="17"/>
      <c r="DF61" s="128"/>
      <c r="DG61" s="128"/>
      <c r="DH61" s="87"/>
      <c r="DI61" s="17"/>
      <c r="DJ61" s="128"/>
      <c r="DK61" s="87"/>
      <c r="DL61" s="17"/>
      <c r="DM61" s="87"/>
      <c r="DN61" s="87"/>
      <c r="DO61" s="87"/>
      <c r="DP61" s="87"/>
      <c r="DQ61" s="17"/>
      <c r="DR61" s="17"/>
      <c r="DU61" s="5"/>
      <c r="DV61" s="7"/>
      <c r="DX61" s="7"/>
      <c r="DY61" s="7"/>
      <c r="DZ61" s="5"/>
    </row>
    <row r="62" spans="1:130">
      <c r="A62">
        <v>13</v>
      </c>
      <c r="B62">
        <v>5.7000000000000002E-2</v>
      </c>
      <c r="D62" s="7"/>
      <c r="F62" s="19"/>
      <c r="G62" s="39"/>
      <c r="H62" s="35"/>
      <c r="I62" s="4"/>
      <c r="J62" s="5">
        <v>0.3</v>
      </c>
      <c r="K62" s="76">
        <f t="shared" si="44"/>
        <v>300</v>
      </c>
      <c r="L62" s="107">
        <v>40653</v>
      </c>
      <c r="M62" s="76">
        <v>576.81799999999998</v>
      </c>
      <c r="N62" s="104">
        <v>40653</v>
      </c>
      <c r="O62" s="4">
        <v>40653</v>
      </c>
      <c r="P62" s="23">
        <v>300</v>
      </c>
      <c r="Q62" s="24">
        <f t="shared" si="21"/>
        <v>2</v>
      </c>
      <c r="R62" s="114">
        <f t="shared" si="22"/>
        <v>16</v>
      </c>
      <c r="S62" s="39">
        <f t="shared" si="2"/>
        <v>0.3</v>
      </c>
      <c r="T62" s="5">
        <f t="shared" si="3"/>
        <v>5.4</v>
      </c>
      <c r="U62" s="7">
        <f t="shared" si="4"/>
        <v>898.50249584026642</v>
      </c>
      <c r="V62">
        <f t="shared" si="45"/>
        <v>3.2</v>
      </c>
      <c r="W62" s="77">
        <f>+W61</f>
        <v>3</v>
      </c>
      <c r="X62" s="6">
        <f t="shared" si="23"/>
        <v>2.6955074875207994</v>
      </c>
      <c r="Y62" s="6">
        <f t="shared" si="24"/>
        <v>0.26955074875207991</v>
      </c>
      <c r="Z62" s="5">
        <f t="shared" si="46"/>
        <v>2.4259567387687193</v>
      </c>
      <c r="AA62" s="113">
        <f t="shared" si="5"/>
        <v>0.75811148086522473</v>
      </c>
      <c r="AB62" s="5">
        <f t="shared" si="25"/>
        <v>0.75811148086522473</v>
      </c>
      <c r="AC62" s="80">
        <f t="shared" si="26"/>
        <v>2.6955074875207994</v>
      </c>
      <c r="AD62" s="5">
        <f t="shared" si="27"/>
        <v>0.81383566092887316</v>
      </c>
      <c r="AE62" s="5">
        <f t="shared" si="28"/>
        <v>0.96</v>
      </c>
      <c r="AF62" s="5">
        <f t="shared" si="29"/>
        <v>0.26955074875207991</v>
      </c>
      <c r="AG62" s="7">
        <f t="shared" si="6"/>
        <v>813.83566092887315</v>
      </c>
      <c r="AH62" s="5">
        <f t="shared" si="30"/>
        <v>2.4259567387687193</v>
      </c>
      <c r="AI62" s="7">
        <f t="shared" si="31"/>
        <v>758.11148086522473</v>
      </c>
      <c r="AJ62" s="6">
        <f t="shared" si="32"/>
        <v>4.8519134775374386</v>
      </c>
      <c r="AK62" s="5">
        <f t="shared" si="47"/>
        <v>24.885091986918248</v>
      </c>
      <c r="AL62" s="5"/>
      <c r="AM62" s="7"/>
      <c r="AO62" s="18"/>
      <c r="AP62" s="4">
        <f t="shared" si="57"/>
        <v>40653</v>
      </c>
      <c r="AQ62" s="36">
        <f t="shared" si="60"/>
        <v>0.6777777777777777</v>
      </c>
      <c r="AR62">
        <f t="shared" si="60"/>
        <v>3250</v>
      </c>
      <c r="AT62" s="4">
        <v>40654</v>
      </c>
      <c r="AU62" s="36">
        <v>0.51250000000000007</v>
      </c>
      <c r="AV62">
        <v>2500</v>
      </c>
      <c r="AX62" s="45">
        <f t="shared" si="7"/>
        <v>898.50249584026642</v>
      </c>
      <c r="AY62" s="45">
        <f t="shared" si="8"/>
        <v>0</v>
      </c>
      <c r="AZ62" s="7">
        <f t="shared" si="9"/>
        <v>898.50249584026642</v>
      </c>
      <c r="BA62" s="18">
        <f t="shared" si="10"/>
        <v>1</v>
      </c>
      <c r="BB62" s="6">
        <f t="shared" si="11"/>
        <v>20.033333333333331</v>
      </c>
      <c r="BI62" s="91"/>
      <c r="BJ62" s="99">
        <v>0</v>
      </c>
      <c r="BK62" s="94">
        <v>40653</v>
      </c>
      <c r="BL62" s="12">
        <v>40653</v>
      </c>
      <c r="BM62" s="72">
        <f t="shared" si="12"/>
        <v>0</v>
      </c>
      <c r="BN62" s="24">
        <f t="shared" si="34"/>
        <v>1</v>
      </c>
      <c r="BO62" s="21">
        <f t="shared" si="35"/>
        <v>16</v>
      </c>
      <c r="BP62" s="5">
        <v>0</v>
      </c>
      <c r="BQ62" s="7">
        <f t="shared" ref="BQ62:BQ93" si="63">+VLOOKUP(BL62,AP61:AZ104,9)</f>
        <v>898.50249584026642</v>
      </c>
      <c r="BR62" s="7"/>
      <c r="BS62" s="7">
        <f t="shared" ref="BS62:BS93" si="64">+VLOOKUP(BL62,AP61:BA104,11)</f>
        <v>898.50249584026642</v>
      </c>
      <c r="BT62">
        <f t="shared" si="59"/>
        <v>3.2</v>
      </c>
      <c r="BU62">
        <f t="shared" si="61"/>
        <v>3</v>
      </c>
      <c r="BV62" s="6">
        <f t="shared" si="15"/>
        <v>2.6955074875207994</v>
      </c>
      <c r="BW62" s="6">
        <f t="shared" si="16"/>
        <v>0</v>
      </c>
      <c r="BX62" s="5">
        <f t="shared" si="17"/>
        <v>2.6955074875207994</v>
      </c>
      <c r="BY62" s="5">
        <f t="shared" si="18"/>
        <v>0.84234608985024972</v>
      </c>
      <c r="BZ62" s="5">
        <f t="shared" si="19"/>
        <v>0.84234608985024972</v>
      </c>
      <c r="CA62" s="5">
        <f t="shared" si="20"/>
        <v>2.6955074875207994</v>
      </c>
      <c r="CB62" s="7">
        <f t="shared" si="36"/>
        <v>25.512542750323277</v>
      </c>
      <c r="CC62" s="5">
        <f t="shared" si="37"/>
        <v>1.0252139218024539</v>
      </c>
      <c r="CD62" s="7">
        <v>19</v>
      </c>
      <c r="CE62" s="5">
        <f t="shared" si="38"/>
        <v>2.724450194049159</v>
      </c>
      <c r="CF62" s="5">
        <f t="shared" si="39"/>
        <v>34.484874748659777</v>
      </c>
      <c r="CG62">
        <f t="shared" si="62"/>
        <v>19</v>
      </c>
      <c r="CH62" s="5">
        <f t="shared" si="40"/>
        <v>1.9052234592496764</v>
      </c>
      <c r="CI62" s="5">
        <f t="shared" si="41"/>
        <v>30.600762364667276</v>
      </c>
      <c r="CJ62" s="5">
        <f t="shared" si="42"/>
        <v>1.4299898423054869</v>
      </c>
      <c r="CK62" s="5">
        <f t="shared" si="43"/>
        <v>1.1269286149706268</v>
      </c>
      <c r="CL62" s="5"/>
      <c r="CM62" s="5"/>
      <c r="CN62" s="5"/>
      <c r="CO62" s="51"/>
      <c r="CQ62" s="51">
        <f t="shared" si="50"/>
        <v>1.408770625836178E-3</v>
      </c>
      <c r="CR62" s="6">
        <v>8.7343778801843033E-2</v>
      </c>
      <c r="CS62" s="132">
        <v>40670</v>
      </c>
      <c r="CT62" s="4">
        <v>40670</v>
      </c>
      <c r="CU62" s="7">
        <f t="shared" si="51"/>
        <v>1.4087706258361781</v>
      </c>
      <c r="CV62">
        <f t="shared" si="52"/>
        <v>5</v>
      </c>
      <c r="CW62" s="9">
        <f t="shared" si="53"/>
        <v>32</v>
      </c>
      <c r="CX62" s="7">
        <f t="shared" si="55"/>
        <v>774.68354430379736</v>
      </c>
      <c r="CY62" s="5">
        <f t="shared" si="54"/>
        <v>1.0913514215338492E-3</v>
      </c>
      <c r="DA62" s="5"/>
      <c r="DB62" s="126"/>
      <c r="DC62" s="127"/>
      <c r="DD62" s="129"/>
      <c r="DE62" s="17"/>
      <c r="DF62" s="128"/>
      <c r="DG62" s="128"/>
      <c r="DH62" s="87"/>
      <c r="DI62" s="17"/>
      <c r="DJ62" s="128"/>
      <c r="DK62" s="87"/>
      <c r="DL62" s="17"/>
      <c r="DM62" s="87"/>
      <c r="DN62" s="87"/>
      <c r="DO62" s="87"/>
      <c r="DP62" s="87"/>
      <c r="DQ62" s="17"/>
      <c r="DR62" s="17"/>
      <c r="DU62" s="5"/>
      <c r="DV62" s="7"/>
      <c r="DX62" s="7"/>
      <c r="DY62" s="7"/>
      <c r="DZ62" s="5"/>
    </row>
    <row r="63" spans="1:130">
      <c r="A63">
        <v>14</v>
      </c>
      <c r="B63">
        <v>4.9000000000000002E-2</v>
      </c>
      <c r="C63">
        <f>AVERAGE(B63:B64)</f>
        <v>4.9000000000000002E-2</v>
      </c>
      <c r="D63" s="7"/>
      <c r="F63" s="3"/>
      <c r="G63" s="39"/>
      <c r="H63" s="48"/>
      <c r="I63" s="4"/>
      <c r="M63" s="76">
        <v>902.08299999999997</v>
      </c>
      <c r="N63" s="104">
        <v>40656</v>
      </c>
      <c r="O63" s="4">
        <v>40656</v>
      </c>
      <c r="P63" s="23">
        <v>902.08299999999997</v>
      </c>
      <c r="Q63" s="24">
        <f t="shared" si="21"/>
        <v>3</v>
      </c>
      <c r="R63" s="114">
        <f t="shared" si="22"/>
        <v>19</v>
      </c>
      <c r="S63" s="39">
        <f t="shared" si="2"/>
        <v>0.90208299999999997</v>
      </c>
      <c r="T63" s="5">
        <f t="shared" si="3"/>
        <v>16.237493999999998</v>
      </c>
      <c r="U63" s="7">
        <f t="shared" si="4"/>
        <v>908.15006468305307</v>
      </c>
      <c r="V63">
        <f t="shared" si="45"/>
        <v>3.2</v>
      </c>
      <c r="W63" s="77">
        <f>+W62</f>
        <v>3</v>
      </c>
      <c r="X63" s="6">
        <f t="shared" si="23"/>
        <v>2.724450194049159</v>
      </c>
      <c r="Y63" s="6">
        <f t="shared" si="24"/>
        <v>0.81922673479948249</v>
      </c>
      <c r="Z63" s="5">
        <f t="shared" si="46"/>
        <v>1.9052234592496764</v>
      </c>
      <c r="AA63" s="113">
        <f t="shared" si="5"/>
        <v>0.59538233101552385</v>
      </c>
      <c r="AB63" s="5">
        <f t="shared" si="25"/>
        <v>0.59538233101552396</v>
      </c>
      <c r="AC63" s="80">
        <f t="shared" si="26"/>
        <v>2.724450194049159</v>
      </c>
      <c r="AD63" s="5">
        <f t="shared" si="27"/>
        <v>0.89686358483436202</v>
      </c>
      <c r="AE63" s="5">
        <f t="shared" si="28"/>
        <v>2.8866656000000002</v>
      </c>
      <c r="AF63" s="5">
        <f t="shared" si="29"/>
        <v>0.81922673479948249</v>
      </c>
      <c r="AG63" s="7">
        <f t="shared" si="6"/>
        <v>896.86358483436197</v>
      </c>
      <c r="AH63" s="5">
        <f t="shared" si="30"/>
        <v>1.9052234592496764</v>
      </c>
      <c r="AI63" s="7">
        <f t="shared" si="31"/>
        <v>595.38233101552385</v>
      </c>
      <c r="AJ63" s="6">
        <f t="shared" si="32"/>
        <v>5.7156703777490296</v>
      </c>
      <c r="AK63" s="5">
        <f t="shared" si="47"/>
        <v>30.600762364667276</v>
      </c>
      <c r="AL63" s="5"/>
      <c r="AM63" s="7"/>
      <c r="AO63" s="18"/>
      <c r="AP63" s="4">
        <f t="shared" si="57"/>
        <v>40654</v>
      </c>
      <c r="AQ63" s="36">
        <f t="shared" si="60"/>
        <v>0.51250000000000007</v>
      </c>
      <c r="AR63">
        <f t="shared" si="60"/>
        <v>2500</v>
      </c>
      <c r="AT63" s="4">
        <v>40655</v>
      </c>
      <c r="AU63" s="36">
        <v>0.5</v>
      </c>
      <c r="AV63">
        <v>1500</v>
      </c>
      <c r="AX63" s="45">
        <f t="shared" si="7"/>
        <v>1012.6582278481012</v>
      </c>
      <c r="AY63" s="45">
        <f t="shared" si="8"/>
        <v>0</v>
      </c>
      <c r="AZ63" s="7">
        <f t="shared" si="9"/>
        <v>1012.6582278481012</v>
      </c>
      <c r="BA63" s="18">
        <f t="shared" si="10"/>
        <v>1</v>
      </c>
      <c r="BB63" s="6">
        <f t="shared" si="11"/>
        <v>23.7</v>
      </c>
      <c r="BI63" s="91"/>
      <c r="BJ63" s="27"/>
      <c r="BK63" s="21"/>
      <c r="BL63" s="12">
        <v>40654</v>
      </c>
      <c r="BM63" s="72">
        <f t="shared" si="12"/>
        <v>0</v>
      </c>
      <c r="BN63" s="24">
        <f t="shared" si="34"/>
        <v>1</v>
      </c>
      <c r="BO63" s="21">
        <f t="shared" si="35"/>
        <v>17</v>
      </c>
      <c r="BP63" s="5">
        <v>0</v>
      </c>
      <c r="BQ63" s="7">
        <f t="shared" si="63"/>
        <v>1012.6582278481012</v>
      </c>
      <c r="BR63" s="7"/>
      <c r="BS63" s="7">
        <f t="shared" si="64"/>
        <v>1012.6582278481012</v>
      </c>
      <c r="BT63">
        <f t="shared" si="59"/>
        <v>3.2</v>
      </c>
      <c r="BU63">
        <f t="shared" si="61"/>
        <v>3</v>
      </c>
      <c r="BV63" s="6">
        <f t="shared" si="15"/>
        <v>3.037974683544304</v>
      </c>
      <c r="BW63" s="6">
        <f t="shared" si="16"/>
        <v>0</v>
      </c>
      <c r="BX63" s="5">
        <f t="shared" si="17"/>
        <v>3.037974683544304</v>
      </c>
      <c r="BY63" s="5">
        <f t="shared" si="18"/>
        <v>0.949367088607595</v>
      </c>
      <c r="BZ63" s="5">
        <f t="shared" si="19"/>
        <v>0.949367088607595</v>
      </c>
      <c r="CA63" s="5">
        <f t="shared" si="20"/>
        <v>3.037974683544304</v>
      </c>
      <c r="CB63" s="7">
        <f t="shared" si="36"/>
        <v>28.550517433867583</v>
      </c>
      <c r="CC63" s="5">
        <f t="shared" si="37"/>
        <v>1.1472940284438651</v>
      </c>
      <c r="CD63" s="7">
        <f t="shared" ref="CD63:CD69" si="65">+BO66</f>
        <v>20</v>
      </c>
      <c r="CE63" s="5">
        <f t="shared" si="38"/>
        <v>3.165592429022082</v>
      </c>
      <c r="CF63" s="5">
        <f t="shared" si="39"/>
        <v>38.041720174527285</v>
      </c>
      <c r="CG63">
        <f t="shared" si="62"/>
        <v>20</v>
      </c>
      <c r="CH63" s="5">
        <f t="shared" si="40"/>
        <v>2.7138730599369083</v>
      </c>
      <c r="CI63" s="5">
        <f t="shared" si="41"/>
        <v>33.314635424604184</v>
      </c>
      <c r="CJ63" s="5">
        <f t="shared" si="42"/>
        <v>1.1664482306684143</v>
      </c>
      <c r="CK63" s="5">
        <f t="shared" si="43"/>
        <v>1.1418921350834284</v>
      </c>
      <c r="CL63" s="5"/>
      <c r="CM63" s="5"/>
      <c r="CN63" s="5"/>
      <c r="CO63" s="51"/>
      <c r="CQ63" s="51">
        <f t="shared" si="50"/>
        <v>7.1097368812249144E-3</v>
      </c>
      <c r="CR63" s="6">
        <v>0.44080368663594471</v>
      </c>
      <c r="CS63" s="132">
        <v>40671</v>
      </c>
      <c r="CT63" s="4">
        <v>40671</v>
      </c>
      <c r="CU63" s="7">
        <f t="shared" si="51"/>
        <v>7.1097368812249142</v>
      </c>
      <c r="CV63">
        <f t="shared" si="52"/>
        <v>1</v>
      </c>
      <c r="CW63" s="9">
        <f t="shared" si="53"/>
        <v>33</v>
      </c>
      <c r="CX63" s="7">
        <f t="shared" si="55"/>
        <v>488.13559322033905</v>
      </c>
      <c r="CY63" s="5">
        <f t="shared" si="54"/>
        <v>3.4705156301572471E-3</v>
      </c>
      <c r="DA63" s="5"/>
      <c r="DB63" s="126"/>
      <c r="DC63" s="127"/>
      <c r="DD63" s="129"/>
      <c r="DE63" s="17"/>
      <c r="DF63" s="128"/>
      <c r="DG63" s="128"/>
      <c r="DH63" s="87"/>
      <c r="DI63" s="17"/>
      <c r="DJ63" s="128"/>
      <c r="DK63" s="87"/>
      <c r="DL63" s="17"/>
      <c r="DM63" s="87"/>
      <c r="DN63" s="87"/>
      <c r="DO63" s="87"/>
      <c r="DP63" s="87"/>
      <c r="DQ63" s="17"/>
      <c r="DR63" s="17"/>
      <c r="DU63" s="5"/>
      <c r="DV63" s="7"/>
      <c r="DX63" s="7"/>
      <c r="DY63" s="7"/>
      <c r="DZ63" s="5"/>
    </row>
    <row r="64" spans="1:130">
      <c r="A64">
        <v>14</v>
      </c>
      <c r="B64">
        <v>4.9000000000000002E-2</v>
      </c>
      <c r="D64" s="7"/>
      <c r="F64" s="19"/>
      <c r="G64" s="39"/>
      <c r="H64" s="33"/>
      <c r="I64" s="4"/>
      <c r="J64" s="5">
        <v>0.71099999999999997</v>
      </c>
      <c r="K64" s="76">
        <f t="shared" ref="K64:K79" si="66">+J64*1000</f>
        <v>711</v>
      </c>
      <c r="L64" s="107">
        <v>40657</v>
      </c>
      <c r="M64" s="76">
        <v>61.393000000000001</v>
      </c>
      <c r="N64" s="104">
        <v>40657</v>
      </c>
      <c r="O64" s="4">
        <v>40657</v>
      </c>
      <c r="P64" s="23">
        <v>711</v>
      </c>
      <c r="Q64" s="24">
        <f t="shared" si="21"/>
        <v>1</v>
      </c>
      <c r="R64" s="114">
        <f t="shared" si="22"/>
        <v>20</v>
      </c>
      <c r="S64" s="39">
        <f t="shared" si="2"/>
        <v>0.71099999999999997</v>
      </c>
      <c r="T64" s="5">
        <f t="shared" si="3"/>
        <v>12.798</v>
      </c>
      <c r="U64" s="7">
        <f t="shared" si="4"/>
        <v>1185.615141955836</v>
      </c>
      <c r="V64">
        <f t="shared" si="45"/>
        <v>3.2</v>
      </c>
      <c r="W64" s="77">
        <v>3</v>
      </c>
      <c r="X64" s="6">
        <f t="shared" si="23"/>
        <v>3.556845425867508</v>
      </c>
      <c r="Y64" s="6">
        <f t="shared" si="24"/>
        <v>0.84297236593059943</v>
      </c>
      <c r="Z64" s="5">
        <f t="shared" si="46"/>
        <v>2.7138730599369083</v>
      </c>
      <c r="AA64" s="113">
        <f t="shared" si="5"/>
        <v>0.84808533123028385</v>
      </c>
      <c r="AB64" s="5">
        <f t="shared" si="25"/>
        <v>0.84808533123028396</v>
      </c>
      <c r="AC64" s="80">
        <f t="shared" si="26"/>
        <v>3.556845425867508</v>
      </c>
      <c r="AD64" s="5">
        <f t="shared" si="27"/>
        <v>1.4692376821268271</v>
      </c>
      <c r="AE64" s="5">
        <f t="shared" si="28"/>
        <v>2.2752000000000003</v>
      </c>
      <c r="AF64" s="5">
        <f t="shared" si="29"/>
        <v>0.84297236593059954</v>
      </c>
      <c r="AG64" s="7">
        <f t="shared" si="6"/>
        <v>1469.2376821268272</v>
      </c>
      <c r="AH64" s="5">
        <f t="shared" si="30"/>
        <v>2.7138730599369083</v>
      </c>
      <c r="AI64" s="7">
        <f t="shared" si="31"/>
        <v>848.08533123028383</v>
      </c>
      <c r="AJ64" s="6">
        <f t="shared" si="32"/>
        <v>2.7138730599369083</v>
      </c>
      <c r="AK64" s="5">
        <f t="shared" si="47"/>
        <v>33.314635424604184</v>
      </c>
      <c r="AL64" s="5"/>
      <c r="AM64" s="7"/>
      <c r="AO64" s="18"/>
      <c r="AP64" s="4">
        <f t="shared" si="57"/>
        <v>40655</v>
      </c>
      <c r="AQ64" s="36">
        <v>0.71180555555555547</v>
      </c>
      <c r="AR64">
        <v>4400</v>
      </c>
      <c r="AT64" s="4">
        <v>40656</v>
      </c>
      <c r="AU64" s="36">
        <v>0.38472222222222219</v>
      </c>
      <c r="AV64">
        <v>3680</v>
      </c>
      <c r="AX64" s="45">
        <f t="shared" si="7"/>
        <v>1069.9690402476779</v>
      </c>
      <c r="AY64" s="45">
        <f t="shared" si="8"/>
        <v>0</v>
      </c>
      <c r="AZ64" s="7">
        <f t="shared" si="9"/>
        <v>1069.9690402476779</v>
      </c>
      <c r="BA64" s="18">
        <f t="shared" si="10"/>
        <v>1</v>
      </c>
      <c r="BB64" s="6">
        <f t="shared" si="11"/>
        <v>16.150000000000002</v>
      </c>
      <c r="BI64" s="91"/>
      <c r="BJ64" s="27"/>
      <c r="BK64" s="21"/>
      <c r="BL64" s="12">
        <v>40655</v>
      </c>
      <c r="BM64" s="72">
        <f t="shared" si="12"/>
        <v>0</v>
      </c>
      <c r="BN64" s="24">
        <f t="shared" si="34"/>
        <v>1</v>
      </c>
      <c r="BO64" s="21">
        <f t="shared" si="35"/>
        <v>18</v>
      </c>
      <c r="BP64" s="5">
        <v>0</v>
      </c>
      <c r="BQ64" s="7">
        <f t="shared" si="63"/>
        <v>1069.9690402476779</v>
      </c>
      <c r="BR64" s="7"/>
      <c r="BS64" s="7">
        <f t="shared" si="64"/>
        <v>1069.9690402476779</v>
      </c>
      <c r="BT64">
        <f t="shared" si="59"/>
        <v>3.2</v>
      </c>
      <c r="BU64">
        <f t="shared" si="61"/>
        <v>3</v>
      </c>
      <c r="BV64" s="6">
        <f t="shared" si="15"/>
        <v>3.2099071207430332</v>
      </c>
      <c r="BW64" s="6">
        <f t="shared" si="16"/>
        <v>0</v>
      </c>
      <c r="BX64" s="5">
        <f t="shared" si="17"/>
        <v>3.2099071207430332</v>
      </c>
      <c r="BY64" s="5">
        <f t="shared" si="18"/>
        <v>1.0030959752321977</v>
      </c>
      <c r="BZ64" s="5">
        <f t="shared" si="19"/>
        <v>1.0030959752321977</v>
      </c>
      <c r="CA64" s="5">
        <f t="shared" si="20"/>
        <v>3.2099071207430332</v>
      </c>
      <c r="CB64" s="7">
        <f t="shared" si="36"/>
        <v>31.760424554610616</v>
      </c>
      <c r="CC64" s="5">
        <f t="shared" si="37"/>
        <v>1.2762831887986041</v>
      </c>
      <c r="CD64" s="7">
        <f t="shared" si="65"/>
        <v>21</v>
      </c>
      <c r="CE64" s="5">
        <f t="shared" si="38"/>
        <v>2.6677038895859471</v>
      </c>
      <c r="CF64" s="5">
        <f t="shared" si="39"/>
        <v>40.751883286196041</v>
      </c>
      <c r="CG64">
        <f t="shared" si="62"/>
        <v>21</v>
      </c>
      <c r="CH64" s="5">
        <f t="shared" si="40"/>
        <v>2.5529736511919703</v>
      </c>
      <c r="CI64" s="5">
        <f t="shared" si="41"/>
        <v>35.867609075796153</v>
      </c>
      <c r="CJ64" s="5">
        <f t="shared" si="42"/>
        <v>1.0449398443029014</v>
      </c>
      <c r="CK64" s="5">
        <f t="shared" si="43"/>
        <v>1.1361750709415379</v>
      </c>
      <c r="CL64" s="5"/>
      <c r="CM64" s="5"/>
      <c r="CN64" s="5"/>
      <c r="CO64" s="51"/>
      <c r="CQ64" s="51">
        <f t="shared" si="50"/>
        <v>3.1209276051731825E-2</v>
      </c>
      <c r="CR64" s="6">
        <v>1.9349751152073731</v>
      </c>
      <c r="CS64" s="131">
        <v>40672</v>
      </c>
      <c r="CT64" s="4">
        <v>40672</v>
      </c>
      <c r="CU64" s="7">
        <f t="shared" si="51"/>
        <v>31.209276051731823</v>
      </c>
      <c r="CV64">
        <f t="shared" si="52"/>
        <v>1</v>
      </c>
      <c r="CW64" s="9">
        <f t="shared" si="53"/>
        <v>34</v>
      </c>
      <c r="CX64" s="7">
        <f t="shared" si="55"/>
        <v>1477.3687386843692</v>
      </c>
      <c r="CY64" s="5">
        <f t="shared" si="54"/>
        <v>4.6107608795799337E-2</v>
      </c>
      <c r="DA64" s="5"/>
      <c r="DB64" s="126"/>
      <c r="DC64" s="127"/>
      <c r="DD64" s="129"/>
      <c r="DE64" s="17"/>
      <c r="DF64" s="128"/>
      <c r="DG64" s="128"/>
      <c r="DH64" s="87"/>
      <c r="DI64" s="17"/>
      <c r="DJ64" s="128"/>
      <c r="DK64" s="87"/>
      <c r="DL64" s="17"/>
      <c r="DM64" s="87"/>
      <c r="DN64" s="87"/>
      <c r="DO64" s="87"/>
      <c r="DP64" s="87"/>
      <c r="DQ64" s="17"/>
      <c r="DR64" s="17"/>
      <c r="DU64" s="5"/>
      <c r="DV64" s="7"/>
      <c r="DX64" s="7"/>
      <c r="DY64" s="7"/>
      <c r="DZ64" s="5"/>
    </row>
    <row r="65" spans="1:130">
      <c r="A65">
        <v>15</v>
      </c>
      <c r="B65">
        <v>9.6000000000000002E-2</v>
      </c>
      <c r="C65">
        <f>AVERAGE(B65:B66)</f>
        <v>9.7000000000000003E-2</v>
      </c>
      <c r="D65" s="7"/>
      <c r="F65" s="3"/>
      <c r="G65" s="39"/>
      <c r="H65" s="35"/>
      <c r="I65" s="4"/>
      <c r="J65" s="5">
        <v>1.1739999999999999</v>
      </c>
      <c r="K65" s="76">
        <f t="shared" si="66"/>
        <v>1174</v>
      </c>
      <c r="L65" s="107">
        <v>40658</v>
      </c>
      <c r="M65" s="76">
        <v>21.891999999999999</v>
      </c>
      <c r="N65" s="104">
        <v>40658</v>
      </c>
      <c r="O65" s="4">
        <v>40658</v>
      </c>
      <c r="P65" s="23">
        <v>1174</v>
      </c>
      <c r="Q65" s="24">
        <f t="shared" si="21"/>
        <v>1</v>
      </c>
      <c r="R65" s="114">
        <f t="shared" si="22"/>
        <v>21</v>
      </c>
      <c r="S65" s="39">
        <f t="shared" si="2"/>
        <v>1.1739999999999999</v>
      </c>
      <c r="T65" s="5">
        <f t="shared" si="3"/>
        <v>21.132000000000001</v>
      </c>
      <c r="U65" s="7">
        <f t="shared" si="4"/>
        <v>903.38770388958596</v>
      </c>
      <c r="V65">
        <f t="shared" si="45"/>
        <v>3.2</v>
      </c>
      <c r="W65" s="77">
        <v>4</v>
      </c>
      <c r="X65" s="6">
        <f t="shared" si="23"/>
        <v>3.613550815558344</v>
      </c>
      <c r="Y65" s="6">
        <f t="shared" si="24"/>
        <v>1.0605771643663739</v>
      </c>
      <c r="Z65" s="5">
        <f t="shared" si="46"/>
        <v>2.5529736511919703</v>
      </c>
      <c r="AA65" s="113">
        <f t="shared" si="5"/>
        <v>0.79780426599749066</v>
      </c>
      <c r="AB65" s="5">
        <f t="shared" si="25"/>
        <v>0.79780426599749055</v>
      </c>
      <c r="AC65" s="80">
        <f t="shared" si="26"/>
        <v>3.613550815558344</v>
      </c>
      <c r="AD65" s="5">
        <f t="shared" si="27"/>
        <v>1.4350949119373777</v>
      </c>
      <c r="AE65" s="5">
        <f t="shared" si="28"/>
        <v>3.7568000000000001</v>
      </c>
      <c r="AF65" s="5">
        <f t="shared" si="29"/>
        <v>1.0605771643663742</v>
      </c>
      <c r="AG65" s="7">
        <f t="shared" si="6"/>
        <v>1435.0949119373777</v>
      </c>
      <c r="AH65" s="5">
        <f t="shared" si="30"/>
        <v>2.5529736511919698</v>
      </c>
      <c r="AI65" s="7">
        <f t="shared" si="31"/>
        <v>797.80426599749057</v>
      </c>
      <c r="AJ65" s="6">
        <f t="shared" si="32"/>
        <v>2.5529736511919703</v>
      </c>
      <c r="AK65" s="5">
        <f t="shared" si="47"/>
        <v>35.867609075796153</v>
      </c>
      <c r="AL65" s="5"/>
      <c r="AM65" s="7"/>
      <c r="AO65" s="18"/>
      <c r="AP65" s="4">
        <f t="shared" si="57"/>
        <v>40656</v>
      </c>
      <c r="AQ65" s="36">
        <f>+AU64</f>
        <v>0.38472222222222219</v>
      </c>
      <c r="AR65">
        <f>+AV64</f>
        <v>3680</v>
      </c>
      <c r="AT65" s="4">
        <v>40657</v>
      </c>
      <c r="AU65" s="36">
        <v>0.45833333333333331</v>
      </c>
      <c r="AV65">
        <v>2705</v>
      </c>
      <c r="AX65" s="45">
        <f t="shared" si="7"/>
        <v>908.15006468305307</v>
      </c>
      <c r="AY65" s="45">
        <f t="shared" si="8"/>
        <v>0</v>
      </c>
      <c r="AZ65" s="7">
        <f t="shared" si="9"/>
        <v>908.15006468305307</v>
      </c>
      <c r="BA65" s="18">
        <f t="shared" si="10"/>
        <v>1</v>
      </c>
      <c r="BB65" s="6">
        <f t="shared" si="11"/>
        <v>25.766666666666666</v>
      </c>
      <c r="BI65" s="91"/>
      <c r="BJ65" s="99">
        <v>0</v>
      </c>
      <c r="BK65" s="94">
        <v>40656</v>
      </c>
      <c r="BL65" s="12">
        <v>40656</v>
      </c>
      <c r="BM65" s="72">
        <f t="shared" si="12"/>
        <v>0</v>
      </c>
      <c r="BN65" s="24">
        <f t="shared" si="34"/>
        <v>1</v>
      </c>
      <c r="BO65" s="21">
        <f t="shared" si="35"/>
        <v>19</v>
      </c>
      <c r="BP65" s="5">
        <v>0</v>
      </c>
      <c r="BQ65" s="7">
        <f t="shared" si="63"/>
        <v>908.15006468305307</v>
      </c>
      <c r="BR65" s="7"/>
      <c r="BS65" s="7">
        <f t="shared" si="64"/>
        <v>908.15006468305307</v>
      </c>
      <c r="BT65">
        <f t="shared" si="59"/>
        <v>3.2</v>
      </c>
      <c r="BU65">
        <f t="shared" si="61"/>
        <v>3</v>
      </c>
      <c r="BV65" s="6">
        <f t="shared" si="15"/>
        <v>2.724450194049159</v>
      </c>
      <c r="BW65" s="6">
        <f t="shared" si="16"/>
        <v>0</v>
      </c>
      <c r="BX65" s="5">
        <f t="shared" si="17"/>
        <v>2.724450194049159</v>
      </c>
      <c r="BY65" s="5">
        <f t="shared" si="18"/>
        <v>0.85139068564036213</v>
      </c>
      <c r="BZ65" s="5">
        <f t="shared" si="19"/>
        <v>0.85139068564036213</v>
      </c>
      <c r="CA65" s="5">
        <f t="shared" si="20"/>
        <v>2.724450194049159</v>
      </c>
      <c r="CB65" s="7">
        <f t="shared" si="36"/>
        <v>34.484874748659777</v>
      </c>
      <c r="CC65" s="5">
        <f t="shared" si="37"/>
        <v>1.1269286149706268</v>
      </c>
      <c r="CD65" s="7">
        <f t="shared" si="65"/>
        <v>22</v>
      </c>
      <c r="CE65" s="5">
        <f t="shared" si="38"/>
        <v>4.2</v>
      </c>
      <c r="CF65" s="5">
        <f t="shared" si="39"/>
        <v>44.951883286196043</v>
      </c>
      <c r="CG65">
        <f t="shared" si="62"/>
        <v>22</v>
      </c>
      <c r="CH65" s="5">
        <f t="shared" si="40"/>
        <v>3.4408500000000002</v>
      </c>
      <c r="CI65" s="5">
        <f t="shared" si="41"/>
        <v>39.308459075796151</v>
      </c>
      <c r="CJ65" s="5">
        <f t="shared" si="42"/>
        <v>1.2206286237412267</v>
      </c>
      <c r="CK65" s="5">
        <f t="shared" si="43"/>
        <v>1.1435676783848996</v>
      </c>
      <c r="CL65" s="5"/>
      <c r="CM65" s="5"/>
      <c r="CN65" s="5"/>
      <c r="CO65" s="51"/>
      <c r="CQ65" s="51">
        <f t="shared" si="50"/>
        <v>6.023237698825628E-2</v>
      </c>
      <c r="CR65" s="6">
        <v>3.7344073732718894</v>
      </c>
      <c r="CS65" s="132">
        <v>40673</v>
      </c>
      <c r="CT65" s="4">
        <v>40673</v>
      </c>
      <c r="CU65" s="7">
        <f t="shared" si="51"/>
        <v>60.232376988256277</v>
      </c>
      <c r="CV65">
        <f t="shared" si="52"/>
        <v>1</v>
      </c>
      <c r="CW65" s="9">
        <f t="shared" si="53"/>
        <v>35</v>
      </c>
      <c r="CX65" s="7">
        <f t="shared" si="55"/>
        <v>796.20853080568747</v>
      </c>
      <c r="CY65" s="5">
        <f t="shared" si="54"/>
        <v>4.7957532388753832E-2</v>
      </c>
      <c r="DA65" s="5"/>
      <c r="DB65" s="126"/>
      <c r="DC65" s="127"/>
      <c r="DD65" s="129"/>
      <c r="DE65" s="17"/>
      <c r="DF65" s="128"/>
      <c r="DG65" s="128"/>
      <c r="DH65" s="87"/>
      <c r="DI65" s="17"/>
      <c r="DJ65" s="128"/>
      <c r="DK65" s="87"/>
      <c r="DL65" s="17"/>
      <c r="DM65" s="87"/>
      <c r="DN65" s="87"/>
      <c r="DO65" s="87"/>
      <c r="DP65" s="87"/>
      <c r="DQ65" s="17"/>
      <c r="DR65" s="17"/>
      <c r="DU65" s="5"/>
      <c r="DV65" s="7"/>
      <c r="DX65" s="7"/>
      <c r="DY65" s="7"/>
      <c r="DZ65" s="5"/>
    </row>
    <row r="66" spans="1:130">
      <c r="A66">
        <v>15</v>
      </c>
      <c r="B66">
        <v>9.8000000000000004E-2</v>
      </c>
      <c r="D66" s="7"/>
      <c r="G66" s="33"/>
      <c r="I66" s="4"/>
      <c r="J66" s="5">
        <v>0.72299999999999998</v>
      </c>
      <c r="K66" s="76">
        <f t="shared" si="66"/>
        <v>723</v>
      </c>
      <c r="L66" s="107">
        <v>40659</v>
      </c>
      <c r="O66" s="4">
        <v>40659</v>
      </c>
      <c r="P66" s="23">
        <v>723</v>
      </c>
      <c r="Q66" s="24">
        <f t="shared" si="21"/>
        <v>1</v>
      </c>
      <c r="R66" s="114">
        <f t="shared" si="22"/>
        <v>22</v>
      </c>
      <c r="S66" s="39">
        <f t="shared" si="2"/>
        <v>0.72299999999999998</v>
      </c>
      <c r="T66" s="5">
        <f t="shared" si="3"/>
        <v>13.013999999999999</v>
      </c>
      <c r="U66" s="7">
        <f t="shared" si="4"/>
        <v>1050</v>
      </c>
      <c r="V66">
        <f t="shared" si="45"/>
        <v>3.2</v>
      </c>
      <c r="W66" s="77">
        <v>4</v>
      </c>
      <c r="X66" s="6">
        <f t="shared" si="23"/>
        <v>4.2</v>
      </c>
      <c r="Y66" s="6">
        <f t="shared" si="24"/>
        <v>0.75914999999999999</v>
      </c>
      <c r="Z66" s="5">
        <f t="shared" si="46"/>
        <v>3.4408500000000002</v>
      </c>
      <c r="AA66" s="113">
        <f t="shared" si="5"/>
        <v>1.0752656249999999</v>
      </c>
      <c r="AB66" s="5">
        <f t="shared" si="25"/>
        <v>1.0752656249999999</v>
      </c>
      <c r="AC66" s="80">
        <f t="shared" si="26"/>
        <v>4.2</v>
      </c>
      <c r="AD66" s="5">
        <f t="shared" si="27"/>
        <v>1.8721882352941177</v>
      </c>
      <c r="AE66" s="5">
        <f t="shared" si="28"/>
        <v>2.3136000000000001</v>
      </c>
      <c r="AF66" s="5">
        <f t="shared" si="29"/>
        <v>0.75914999999999999</v>
      </c>
      <c r="AG66" s="7">
        <f t="shared" si="6"/>
        <v>1872.1882352941177</v>
      </c>
      <c r="AH66" s="5">
        <f t="shared" si="30"/>
        <v>3.4408500000000002</v>
      </c>
      <c r="AI66" s="7">
        <f t="shared" si="31"/>
        <v>1075.265625</v>
      </c>
      <c r="AJ66" s="6">
        <f t="shared" si="32"/>
        <v>3.4408500000000002</v>
      </c>
      <c r="AK66" s="5">
        <f t="shared" si="47"/>
        <v>39.308459075796151</v>
      </c>
      <c r="AL66" s="5"/>
      <c r="AM66" s="7"/>
      <c r="AO66" s="18"/>
      <c r="AP66" s="4">
        <f t="shared" si="57"/>
        <v>40657</v>
      </c>
      <c r="AQ66" s="36">
        <f>+AU65</f>
        <v>0.45833333333333331</v>
      </c>
      <c r="AR66">
        <f>+AV65</f>
        <v>2705</v>
      </c>
      <c r="AT66" s="4">
        <v>40658</v>
      </c>
      <c r="AU66" s="36">
        <v>0.55902777777777779</v>
      </c>
      <c r="AV66">
        <v>1400</v>
      </c>
      <c r="AX66" s="45">
        <f t="shared" si="7"/>
        <v>1185.615141955836</v>
      </c>
      <c r="AY66" s="45">
        <f t="shared" si="8"/>
        <v>0</v>
      </c>
      <c r="AZ66" s="7">
        <f t="shared" si="9"/>
        <v>1185.615141955836</v>
      </c>
      <c r="BA66" s="18">
        <f t="shared" si="10"/>
        <v>1</v>
      </c>
      <c r="BB66" s="6">
        <f t="shared" si="11"/>
        <v>26.416666666666664</v>
      </c>
      <c r="BI66" s="91"/>
      <c r="BJ66" s="99">
        <v>15.180000000000001</v>
      </c>
      <c r="BK66" s="94">
        <v>40657</v>
      </c>
      <c r="BL66" s="12">
        <v>40657</v>
      </c>
      <c r="BM66" s="72">
        <f t="shared" si="12"/>
        <v>330</v>
      </c>
      <c r="BN66" s="24">
        <f t="shared" si="34"/>
        <v>1</v>
      </c>
      <c r="BO66" s="21">
        <f t="shared" si="35"/>
        <v>20</v>
      </c>
      <c r="BP66" s="5">
        <f>+BJ66</f>
        <v>15.180000000000001</v>
      </c>
      <c r="BQ66" s="7">
        <f t="shared" si="63"/>
        <v>1185.615141955836</v>
      </c>
      <c r="BR66" s="7"/>
      <c r="BS66" s="7">
        <f t="shared" si="64"/>
        <v>1185.615141955836</v>
      </c>
      <c r="BT66">
        <f t="shared" si="59"/>
        <v>3.2</v>
      </c>
      <c r="BU66">
        <f t="shared" si="61"/>
        <v>3</v>
      </c>
      <c r="BV66" s="6">
        <f t="shared" si="15"/>
        <v>3.556845425867508</v>
      </c>
      <c r="BW66" s="6">
        <f t="shared" si="16"/>
        <v>0.39125299684542586</v>
      </c>
      <c r="BX66" s="5">
        <f t="shared" si="17"/>
        <v>3.165592429022082</v>
      </c>
      <c r="BY66" s="5">
        <f t="shared" si="18"/>
        <v>0.98924763406940064</v>
      </c>
      <c r="BZ66" s="5">
        <f t="shared" si="19"/>
        <v>0.98924763406940064</v>
      </c>
      <c r="CA66" s="5">
        <f t="shared" si="20"/>
        <v>3.556845425867508</v>
      </c>
      <c r="CB66" s="7">
        <f t="shared" si="36"/>
        <v>38.041720174527285</v>
      </c>
      <c r="CC66" s="5">
        <f t="shared" si="37"/>
        <v>1.1418921350834284</v>
      </c>
      <c r="CD66" s="7">
        <f t="shared" si="65"/>
        <v>23</v>
      </c>
      <c r="CE66" s="5">
        <f t="shared" si="38"/>
        <v>8.1505138339920968</v>
      </c>
      <c r="CF66" s="5">
        <f t="shared" si="39"/>
        <v>53.330065104377866</v>
      </c>
      <c r="CG66">
        <f t="shared" si="62"/>
        <v>23</v>
      </c>
      <c r="CH66" s="5">
        <f t="shared" si="40"/>
        <v>7.0355781818181837</v>
      </c>
      <c r="CI66" s="5">
        <f t="shared" si="41"/>
        <v>46.344037257614332</v>
      </c>
      <c r="CJ66" s="5">
        <f t="shared" si="42"/>
        <v>1.1584710770545064</v>
      </c>
      <c r="CK66" s="5">
        <f t="shared" si="43"/>
        <v>1.1507427548430889</v>
      </c>
      <c r="CL66" s="5"/>
      <c r="CM66" s="5"/>
      <c r="CN66" s="5"/>
      <c r="CO66" s="51"/>
      <c r="CQ66" s="51">
        <f t="shared" si="50"/>
        <v>3.794678162628215E-2</v>
      </c>
      <c r="CR66" s="6">
        <v>2.3527004608294932</v>
      </c>
      <c r="CS66" s="132">
        <v>40676</v>
      </c>
      <c r="CT66" s="4">
        <v>40676</v>
      </c>
      <c r="CU66" s="7">
        <f t="shared" si="51"/>
        <v>37.946781626282153</v>
      </c>
      <c r="CV66">
        <f t="shared" si="52"/>
        <v>3</v>
      </c>
      <c r="CW66" s="9">
        <f t="shared" si="53"/>
        <v>38</v>
      </c>
      <c r="CX66" s="7">
        <f t="shared" si="55"/>
        <v>1162.7329192546586</v>
      </c>
      <c r="CY66" s="5">
        <f t="shared" si="54"/>
        <v>4.4121972176646082E-2</v>
      </c>
      <c r="DA66" s="5"/>
      <c r="DB66" s="126"/>
      <c r="DC66" s="127"/>
      <c r="DD66" s="129"/>
      <c r="DE66" s="17"/>
      <c r="DF66" s="128"/>
      <c r="DG66" s="128"/>
      <c r="DH66" s="87"/>
      <c r="DI66" s="17"/>
      <c r="DJ66" s="128"/>
      <c r="DK66" s="87"/>
      <c r="DL66" s="17"/>
      <c r="DM66" s="87"/>
      <c r="DN66" s="87"/>
      <c r="DO66" s="87"/>
      <c r="DP66" s="87"/>
      <c r="DQ66" s="17"/>
      <c r="DR66" s="17"/>
      <c r="DU66" s="5"/>
      <c r="DV66" s="7"/>
      <c r="DX66" s="7"/>
      <c r="DY66" s="7"/>
      <c r="DZ66" s="5"/>
    </row>
    <row r="67" spans="1:130">
      <c r="A67">
        <v>16</v>
      </c>
      <c r="B67">
        <v>5.0999999999999997E-2</v>
      </c>
      <c r="C67">
        <f>AVERAGE(B67:B68)</f>
        <v>5.0500000000000003E-2</v>
      </c>
      <c r="D67" s="7"/>
      <c r="F67" s="3"/>
      <c r="G67" s="39"/>
      <c r="H67" s="35"/>
      <c r="I67" s="4"/>
      <c r="J67" s="5">
        <v>0.64100000000000001</v>
      </c>
      <c r="K67" s="76">
        <f t="shared" si="66"/>
        <v>641</v>
      </c>
      <c r="L67" s="107">
        <v>40660</v>
      </c>
      <c r="O67" s="4">
        <v>40660</v>
      </c>
      <c r="P67" s="23">
        <v>641</v>
      </c>
      <c r="Q67" s="24">
        <f t="shared" si="21"/>
        <v>1</v>
      </c>
      <c r="R67" s="114">
        <f t="shared" si="22"/>
        <v>23</v>
      </c>
      <c r="S67" s="39">
        <f t="shared" si="2"/>
        <v>0.64100000000000001</v>
      </c>
      <c r="T67" s="5">
        <f t="shared" si="3"/>
        <v>11.538</v>
      </c>
      <c r="U67" s="7">
        <f t="shared" si="4"/>
        <v>2094.545454545455</v>
      </c>
      <c r="V67">
        <f t="shared" si="45"/>
        <v>3.2</v>
      </c>
      <c r="W67" s="77">
        <f>+W66</f>
        <v>4</v>
      </c>
      <c r="X67" s="6">
        <f t="shared" si="23"/>
        <v>8.3781818181818206</v>
      </c>
      <c r="Y67" s="6">
        <f t="shared" si="24"/>
        <v>1.3426036363636367</v>
      </c>
      <c r="Z67" s="5">
        <f t="shared" si="46"/>
        <v>7.0355781818181837</v>
      </c>
      <c r="AA67" s="113">
        <f t="shared" si="5"/>
        <v>2.1986181818181825</v>
      </c>
      <c r="AB67" s="5">
        <f t="shared" si="25"/>
        <v>2.198618181818182</v>
      </c>
      <c r="AC67" s="80">
        <f t="shared" si="26"/>
        <v>8.3781818181818206</v>
      </c>
      <c r="AD67" s="5">
        <f t="shared" si="27"/>
        <v>2.0193956043956045</v>
      </c>
      <c r="AE67" s="5">
        <f t="shared" si="28"/>
        <v>2.0512000000000001</v>
      </c>
      <c r="AF67" s="5">
        <f t="shared" si="29"/>
        <v>1.3426036363636367</v>
      </c>
      <c r="AG67" s="7">
        <f t="shared" si="6"/>
        <v>2019.3956043956046</v>
      </c>
      <c r="AH67" s="5">
        <f t="shared" si="30"/>
        <v>7.0355781818181837</v>
      </c>
      <c r="AI67" s="7">
        <f t="shared" si="31"/>
        <v>2198.6181818181822</v>
      </c>
      <c r="AJ67" s="6">
        <f t="shared" si="32"/>
        <v>7.0355781818181837</v>
      </c>
      <c r="AK67" s="5">
        <f t="shared" si="47"/>
        <v>46.344037257614332</v>
      </c>
      <c r="AL67" s="5"/>
      <c r="AM67" s="7"/>
      <c r="AO67" s="18"/>
      <c r="AP67" s="4">
        <f t="shared" si="57"/>
        <v>40658</v>
      </c>
      <c r="AQ67" s="36">
        <v>0.86319444444444438</v>
      </c>
      <c r="AR67">
        <v>5000</v>
      </c>
      <c r="AT67" s="4">
        <v>40659</v>
      </c>
      <c r="AU67" s="36">
        <v>0.41666666666666669</v>
      </c>
      <c r="AV67">
        <v>4500</v>
      </c>
      <c r="AX67" s="45">
        <f t="shared" si="7"/>
        <v>903.38770388958596</v>
      </c>
      <c r="AY67" s="45">
        <f t="shared" si="8"/>
        <v>0</v>
      </c>
      <c r="AZ67" s="7">
        <f t="shared" si="9"/>
        <v>903.38770388958596</v>
      </c>
      <c r="BA67" s="18">
        <f t="shared" si="10"/>
        <v>1</v>
      </c>
      <c r="BB67" s="6">
        <f t="shared" si="11"/>
        <v>13.283333333333333</v>
      </c>
      <c r="BI67" s="91"/>
      <c r="BJ67" s="99">
        <v>2.1619999999999999</v>
      </c>
      <c r="BK67" s="94">
        <v>40658</v>
      </c>
      <c r="BL67" s="12">
        <v>40658</v>
      </c>
      <c r="BM67" s="72">
        <f t="shared" si="12"/>
        <v>47</v>
      </c>
      <c r="BN67" s="24">
        <f t="shared" si="34"/>
        <v>1</v>
      </c>
      <c r="BO67" s="21">
        <f t="shared" si="35"/>
        <v>21</v>
      </c>
      <c r="BP67" s="5">
        <f>+BJ67</f>
        <v>2.1619999999999999</v>
      </c>
      <c r="BQ67" s="7">
        <f t="shared" si="63"/>
        <v>903.38770388958596</v>
      </c>
      <c r="BR67" s="7"/>
      <c r="BS67" s="7">
        <f t="shared" si="64"/>
        <v>903.38770388958596</v>
      </c>
      <c r="BT67">
        <f t="shared" si="59"/>
        <v>3.2</v>
      </c>
      <c r="BU67">
        <v>3</v>
      </c>
      <c r="BV67" s="6">
        <f t="shared" si="15"/>
        <v>2.7101631116687575</v>
      </c>
      <c r="BW67" s="6">
        <f t="shared" si="16"/>
        <v>4.2459222082810541E-2</v>
      </c>
      <c r="BX67" s="5">
        <f t="shared" si="17"/>
        <v>2.6677038895859471</v>
      </c>
      <c r="BY67" s="5">
        <f t="shared" si="18"/>
        <v>0.83365746549560837</v>
      </c>
      <c r="BZ67" s="5">
        <f t="shared" si="19"/>
        <v>0.8336574654956086</v>
      </c>
      <c r="CA67" s="5">
        <f t="shared" si="20"/>
        <v>2.7101631116687575</v>
      </c>
      <c r="CB67" s="7">
        <f t="shared" si="36"/>
        <v>40.751883286196041</v>
      </c>
      <c r="CC67" s="5">
        <f t="shared" si="37"/>
        <v>1.1361750709415379</v>
      </c>
      <c r="CD67" s="7">
        <f t="shared" si="65"/>
        <v>24</v>
      </c>
      <c r="CE67" s="5">
        <f t="shared" si="38"/>
        <v>4.644177302335434</v>
      </c>
      <c r="CF67" s="5">
        <f t="shared" si="39"/>
        <v>58.241149148226832</v>
      </c>
      <c r="CG67">
        <f t="shared" si="62"/>
        <v>24</v>
      </c>
      <c r="CH67" s="5">
        <f t="shared" si="40"/>
        <v>3.6452521315468944</v>
      </c>
      <c r="CI67" s="5">
        <f t="shared" si="41"/>
        <v>49.989289389161229</v>
      </c>
      <c r="CJ67" s="5">
        <f t="shared" si="42"/>
        <v>1.2740345893068958</v>
      </c>
      <c r="CK67" s="5">
        <f t="shared" si="43"/>
        <v>1.1650725557394057</v>
      </c>
      <c r="CL67" s="5"/>
      <c r="CM67" s="5"/>
      <c r="CN67" s="5"/>
      <c r="CO67" s="51"/>
      <c r="CQ67" s="51">
        <f t="shared" si="50"/>
        <v>3.9242455775234136E-2</v>
      </c>
      <c r="CR67" s="6">
        <v>2.4330322580645163</v>
      </c>
      <c r="CS67" s="132">
        <v>40677</v>
      </c>
      <c r="CT67" s="4">
        <v>40677</v>
      </c>
      <c r="CU67" s="7">
        <f t="shared" si="51"/>
        <v>39.242455775234134</v>
      </c>
      <c r="CV67">
        <f t="shared" si="52"/>
        <v>1</v>
      </c>
      <c r="CW67" s="9">
        <f t="shared" si="53"/>
        <v>39</v>
      </c>
      <c r="CX67" s="7">
        <f t="shared" si="55"/>
        <v>1444.8160535117056</v>
      </c>
      <c r="CY67" s="5">
        <f t="shared" si="54"/>
        <v>5.6698130083281423E-2</v>
      </c>
      <c r="DA67" s="5"/>
      <c r="DB67" s="126"/>
      <c r="DC67" s="127"/>
      <c r="DD67" s="129"/>
      <c r="DE67" s="17"/>
      <c r="DF67" s="128"/>
      <c r="DG67" s="128"/>
      <c r="DH67" s="87"/>
      <c r="DI67" s="17"/>
      <c r="DJ67" s="128"/>
      <c r="DK67" s="87"/>
      <c r="DL67" s="17"/>
      <c r="DM67" s="87"/>
      <c r="DN67" s="87"/>
      <c r="DO67" s="87"/>
      <c r="DP67" s="87"/>
      <c r="DQ67" s="17"/>
      <c r="DR67" s="17"/>
      <c r="DU67" s="5"/>
      <c r="DV67" s="7"/>
      <c r="DX67" s="7"/>
      <c r="DY67" s="7"/>
      <c r="DZ67" s="5"/>
    </row>
    <row r="68" spans="1:130">
      <c r="A68">
        <v>16</v>
      </c>
      <c r="B68">
        <v>0.05</v>
      </c>
      <c r="D68" s="7"/>
      <c r="F68" s="19"/>
      <c r="G68" s="39"/>
      <c r="H68" s="35"/>
      <c r="I68" s="4"/>
      <c r="J68" s="5">
        <v>1.0309999999999999</v>
      </c>
      <c r="K68" s="76">
        <f t="shared" si="66"/>
        <v>1031</v>
      </c>
      <c r="L68" s="107">
        <v>40661</v>
      </c>
      <c r="O68" s="4">
        <v>40661</v>
      </c>
      <c r="P68" s="23">
        <v>1031</v>
      </c>
      <c r="Q68" s="24">
        <f t="shared" si="21"/>
        <v>1</v>
      </c>
      <c r="R68" s="114">
        <f t="shared" si="22"/>
        <v>24</v>
      </c>
      <c r="S68" s="39">
        <f t="shared" si="2"/>
        <v>1.0309999999999999</v>
      </c>
      <c r="T68" s="5">
        <f t="shared" si="3"/>
        <v>18.558</v>
      </c>
      <c r="U68" s="7">
        <f t="shared" si="4"/>
        <v>1227.7710109622412</v>
      </c>
      <c r="V68">
        <f t="shared" si="45"/>
        <v>3.2</v>
      </c>
      <c r="W68" s="77">
        <v>4</v>
      </c>
      <c r="X68" s="6">
        <f t="shared" si="23"/>
        <v>4.9110840438489651</v>
      </c>
      <c r="Y68" s="6">
        <f t="shared" si="24"/>
        <v>1.2658319123020707</v>
      </c>
      <c r="Z68" s="5">
        <f t="shared" si="46"/>
        <v>3.6452521315468944</v>
      </c>
      <c r="AA68" s="113">
        <f t="shared" si="5"/>
        <v>1.1391412911084045</v>
      </c>
      <c r="AB68" s="5">
        <f t="shared" si="25"/>
        <v>1.1391412911084047</v>
      </c>
      <c r="AC68" s="80">
        <f t="shared" si="26"/>
        <v>4.9110840438489651</v>
      </c>
      <c r="AD68" s="5">
        <f t="shared" si="27"/>
        <v>1.5724128521126761</v>
      </c>
      <c r="AE68" s="5">
        <f t="shared" si="28"/>
        <v>3.2992000000000004</v>
      </c>
      <c r="AF68" s="5">
        <f t="shared" si="29"/>
        <v>1.2658319123020707</v>
      </c>
      <c r="AG68" s="7">
        <f t="shared" si="6"/>
        <v>1572.4128521126761</v>
      </c>
      <c r="AH68" s="5">
        <f t="shared" si="30"/>
        <v>3.6452521315468944</v>
      </c>
      <c r="AI68" s="7">
        <f t="shared" si="31"/>
        <v>1139.1412911084044</v>
      </c>
      <c r="AJ68" s="6">
        <f t="shared" si="32"/>
        <v>3.6452521315468944</v>
      </c>
      <c r="AK68" s="5">
        <f t="shared" si="47"/>
        <v>49.989289389161229</v>
      </c>
      <c r="AL68" s="5"/>
      <c r="AM68" s="7"/>
      <c r="AO68" s="18"/>
      <c r="AP68" s="4">
        <f t="shared" si="57"/>
        <v>40659</v>
      </c>
      <c r="AQ68" s="36">
        <f>+AU67</f>
        <v>0.41666666666666669</v>
      </c>
      <c r="AR68">
        <f>+AV67</f>
        <v>4500</v>
      </c>
      <c r="AT68" s="4">
        <v>40660</v>
      </c>
      <c r="AU68" s="36">
        <v>0.41666666666666669</v>
      </c>
      <c r="AV68">
        <v>3450</v>
      </c>
      <c r="AX68" s="45">
        <f t="shared" si="7"/>
        <v>1050</v>
      </c>
      <c r="AY68" s="45">
        <f t="shared" si="8"/>
        <v>0</v>
      </c>
      <c r="AZ68" s="7">
        <f t="shared" si="9"/>
        <v>1050</v>
      </c>
      <c r="BA68" s="18">
        <f t="shared" si="10"/>
        <v>1</v>
      </c>
      <c r="BB68" s="6">
        <f t="shared" si="11"/>
        <v>24</v>
      </c>
      <c r="BI68" s="91"/>
      <c r="BJ68" s="27"/>
      <c r="BK68" s="21"/>
      <c r="BL68" s="12">
        <v>40659</v>
      </c>
      <c r="BM68" s="72">
        <f t="shared" si="12"/>
        <v>0</v>
      </c>
      <c r="BN68" s="24">
        <f t="shared" si="34"/>
        <v>1</v>
      </c>
      <c r="BO68" s="21">
        <f t="shared" si="35"/>
        <v>22</v>
      </c>
      <c r="BP68" s="5">
        <v>0</v>
      </c>
      <c r="BQ68" s="7">
        <f t="shared" si="63"/>
        <v>1050</v>
      </c>
      <c r="BR68" s="7"/>
      <c r="BS68" s="7">
        <f t="shared" si="64"/>
        <v>1050</v>
      </c>
      <c r="BT68">
        <f t="shared" si="59"/>
        <v>3.2</v>
      </c>
      <c r="BU68">
        <v>4</v>
      </c>
      <c r="BV68" s="6">
        <f t="shared" si="15"/>
        <v>4.2</v>
      </c>
      <c r="BW68" s="6">
        <f t="shared" si="16"/>
        <v>0</v>
      </c>
      <c r="BX68" s="5">
        <f t="shared" si="17"/>
        <v>4.2</v>
      </c>
      <c r="BY68" s="5">
        <f t="shared" si="18"/>
        <v>1.3125</v>
      </c>
      <c r="BZ68" s="5">
        <f t="shared" si="19"/>
        <v>1.3125</v>
      </c>
      <c r="CA68" s="5">
        <f t="shared" si="20"/>
        <v>4.2</v>
      </c>
      <c r="CB68" s="7">
        <f t="shared" si="36"/>
        <v>44.951883286196043</v>
      </c>
      <c r="CC68" s="5">
        <f t="shared" si="37"/>
        <v>1.1435676783848996</v>
      </c>
      <c r="CD68" s="7">
        <f t="shared" si="65"/>
        <v>25</v>
      </c>
      <c r="CE68" s="5">
        <f t="shared" si="38"/>
        <v>3.1621928166351601</v>
      </c>
      <c r="CF68" s="5">
        <f t="shared" si="39"/>
        <v>61.788975235183351</v>
      </c>
      <c r="CG68">
        <f t="shared" si="62"/>
        <v>25</v>
      </c>
      <c r="CH68" s="5">
        <f t="shared" si="40"/>
        <v>2.6129739130434779</v>
      </c>
      <c r="CI68" s="5">
        <f t="shared" si="41"/>
        <v>52.602263302204705</v>
      </c>
      <c r="CJ68" s="5">
        <f t="shared" si="42"/>
        <v>1.2101892027509666</v>
      </c>
      <c r="CK68" s="5">
        <f t="shared" si="43"/>
        <v>1.1746448034032331</v>
      </c>
      <c r="CL68" s="5"/>
      <c r="CM68" s="5"/>
      <c r="CN68" s="5"/>
      <c r="CO68" s="51"/>
      <c r="CQ68" s="51">
        <f t="shared" si="50"/>
        <v>1.4365512115356027E-2</v>
      </c>
      <c r="CR68" s="6">
        <v>0.89066175115207369</v>
      </c>
      <c r="CS68" s="131">
        <v>40678</v>
      </c>
      <c r="CT68" s="4">
        <v>40678</v>
      </c>
      <c r="CU68" s="7">
        <f t="shared" si="51"/>
        <v>14.365512115356028</v>
      </c>
      <c r="CV68">
        <f t="shared" si="52"/>
        <v>1</v>
      </c>
      <c r="CW68" s="9">
        <f t="shared" si="53"/>
        <v>40</v>
      </c>
      <c r="CX68" s="7">
        <f t="shared" si="55"/>
        <v>1103.8327526132405</v>
      </c>
      <c r="CY68" s="5">
        <f t="shared" si="54"/>
        <v>1.58571227809923E-2</v>
      </c>
      <c r="DA68" s="5"/>
      <c r="DB68" s="126"/>
      <c r="DC68" s="127"/>
      <c r="DD68" s="129"/>
      <c r="DE68" s="17"/>
      <c r="DF68" s="128"/>
      <c r="DG68" s="128"/>
      <c r="DH68" s="87"/>
      <c r="DI68" s="17"/>
      <c r="DJ68" s="128"/>
      <c r="DK68" s="87"/>
      <c r="DL68" s="17"/>
      <c r="DM68" s="87"/>
      <c r="DN68" s="87"/>
      <c r="DO68" s="87"/>
      <c r="DP68" s="87"/>
      <c r="DQ68" s="17"/>
      <c r="DR68" s="17"/>
      <c r="DU68" s="5"/>
      <c r="DV68" s="7"/>
      <c r="DX68" s="7"/>
      <c r="DY68" s="7"/>
      <c r="DZ68" s="5"/>
    </row>
    <row r="69" spans="1:130">
      <c r="A69">
        <v>17</v>
      </c>
      <c r="B69">
        <v>6.5000000000000002E-2</v>
      </c>
      <c r="C69">
        <f>AVERAGE(B69:B70)</f>
        <v>6.3500000000000001E-2</v>
      </c>
      <c r="D69" s="7"/>
      <c r="F69" s="3"/>
      <c r="G69" s="39"/>
      <c r="H69" s="35"/>
      <c r="I69" s="4"/>
      <c r="J69" s="5">
        <v>1.054</v>
      </c>
      <c r="K69" s="76">
        <f t="shared" si="66"/>
        <v>1054</v>
      </c>
      <c r="L69" s="107">
        <v>40662</v>
      </c>
      <c r="M69" s="76">
        <v>88.164000000000001</v>
      </c>
      <c r="N69" s="94">
        <v>40662</v>
      </c>
      <c r="O69" s="4">
        <v>40662</v>
      </c>
      <c r="P69" s="23">
        <v>1054</v>
      </c>
      <c r="Q69" s="24">
        <f t="shared" si="21"/>
        <v>1</v>
      </c>
      <c r="R69" s="114">
        <f t="shared" si="22"/>
        <v>25</v>
      </c>
      <c r="S69" s="39">
        <f t="shared" si="2"/>
        <v>1.054</v>
      </c>
      <c r="T69" s="5">
        <f t="shared" si="3"/>
        <v>18.972000000000001</v>
      </c>
      <c r="U69" s="7">
        <f t="shared" si="4"/>
        <v>886.95652173913027</v>
      </c>
      <c r="V69">
        <f t="shared" si="45"/>
        <v>3.2</v>
      </c>
      <c r="W69" s="77">
        <v>4</v>
      </c>
      <c r="X69" s="6">
        <f t="shared" si="23"/>
        <v>3.5478260869565212</v>
      </c>
      <c r="Y69" s="6">
        <f t="shared" si="24"/>
        <v>0.93485217391304332</v>
      </c>
      <c r="Z69" s="5">
        <f t="shared" si="46"/>
        <v>2.6129739130434779</v>
      </c>
      <c r="AA69" s="113">
        <f t="shared" si="5"/>
        <v>0.81655434782608682</v>
      </c>
      <c r="AB69" s="5">
        <f t="shared" si="25"/>
        <v>0.81655434782608682</v>
      </c>
      <c r="AC69" s="80">
        <f t="shared" si="26"/>
        <v>3.5478260869565212</v>
      </c>
      <c r="AD69" s="5">
        <f t="shared" si="27"/>
        <v>1.6753361702127658</v>
      </c>
      <c r="AE69" s="5">
        <f t="shared" si="28"/>
        <v>3.3728000000000002</v>
      </c>
      <c r="AF69" s="5">
        <f t="shared" si="29"/>
        <v>0.93485217391304332</v>
      </c>
      <c r="AG69" s="7">
        <f t="shared" si="6"/>
        <v>1675.3361702127659</v>
      </c>
      <c r="AH69" s="5">
        <f t="shared" si="30"/>
        <v>2.6129739130434779</v>
      </c>
      <c r="AI69" s="7">
        <f t="shared" si="31"/>
        <v>816.55434782608677</v>
      </c>
      <c r="AJ69" s="6">
        <f t="shared" si="32"/>
        <v>2.6129739130434779</v>
      </c>
      <c r="AK69" s="5">
        <f t="shared" si="47"/>
        <v>52.602263302204705</v>
      </c>
      <c r="AL69" s="5"/>
      <c r="AM69" s="7"/>
      <c r="AO69" s="18"/>
      <c r="AP69" s="4">
        <f t="shared" si="57"/>
        <v>40660</v>
      </c>
      <c r="AQ69" s="36">
        <v>0.86319444444444438</v>
      </c>
      <c r="AR69">
        <v>3800</v>
      </c>
      <c r="AT69" s="4">
        <v>40661</v>
      </c>
      <c r="AU69" s="36">
        <v>0.24513888888888888</v>
      </c>
      <c r="AV69">
        <v>3000</v>
      </c>
      <c r="AX69" s="45">
        <f t="shared" si="7"/>
        <v>2094.545454545455</v>
      </c>
      <c r="AY69" s="45">
        <f t="shared" si="8"/>
        <v>0</v>
      </c>
      <c r="AZ69" s="7">
        <f t="shared" si="9"/>
        <v>2094.545454545455</v>
      </c>
      <c r="BA69" s="18">
        <f t="shared" si="10"/>
        <v>1</v>
      </c>
      <c r="BB69" s="6">
        <f t="shared" si="11"/>
        <v>9.1666666666666661</v>
      </c>
      <c r="BI69" s="91"/>
      <c r="BJ69" s="27"/>
      <c r="BK69" s="21"/>
      <c r="BL69" s="12">
        <v>40660</v>
      </c>
      <c r="BM69" s="72">
        <f t="shared" si="12"/>
        <v>108.69565217391305</v>
      </c>
      <c r="BN69" s="24">
        <f t="shared" si="34"/>
        <v>1</v>
      </c>
      <c r="BO69" s="21">
        <f t="shared" si="35"/>
        <v>23</v>
      </c>
      <c r="BP69" s="5">
        <v>5</v>
      </c>
      <c r="BQ69" s="7">
        <f t="shared" si="63"/>
        <v>2094.545454545455</v>
      </c>
      <c r="BR69" s="7"/>
      <c r="BS69" s="7">
        <f t="shared" si="64"/>
        <v>2094.545454545455</v>
      </c>
      <c r="BT69">
        <f t="shared" si="59"/>
        <v>3.2</v>
      </c>
      <c r="BU69">
        <f t="shared" ref="BU69:BU86" si="67">+BU68</f>
        <v>4</v>
      </c>
      <c r="BV69" s="6">
        <f t="shared" si="15"/>
        <v>8.3781818181818206</v>
      </c>
      <c r="BW69" s="6">
        <f t="shared" si="16"/>
        <v>0.22766798418972339</v>
      </c>
      <c r="BX69" s="5">
        <f t="shared" si="17"/>
        <v>8.1505138339920968</v>
      </c>
      <c r="BY69" s="5">
        <f t="shared" si="18"/>
        <v>2.54703557312253</v>
      </c>
      <c r="BZ69" s="5">
        <f t="shared" si="19"/>
        <v>2.54703557312253</v>
      </c>
      <c r="CA69" s="5">
        <f t="shared" si="20"/>
        <v>8.3781818181818206</v>
      </c>
      <c r="CB69" s="7">
        <f t="shared" si="36"/>
        <v>53.330065104377866</v>
      </c>
      <c r="CC69" s="5">
        <f t="shared" si="37"/>
        <v>1.1507427548430889</v>
      </c>
      <c r="CD69" s="7">
        <f t="shared" si="65"/>
        <v>26</v>
      </c>
      <c r="CE69" s="5">
        <f t="shared" si="38"/>
        <v>0.3317023255813954</v>
      </c>
      <c r="CF69" s="5">
        <f t="shared" si="39"/>
        <v>62.123858956113587</v>
      </c>
      <c r="CG69">
        <f t="shared" si="62"/>
        <v>26</v>
      </c>
      <c r="CH69" s="5">
        <f t="shared" si="40"/>
        <v>0.28021395348837214</v>
      </c>
      <c r="CI69" s="5">
        <f t="shared" si="41"/>
        <v>52.882477255693075</v>
      </c>
      <c r="CJ69" s="5">
        <f t="shared" si="42"/>
        <v>1.1837466387809978</v>
      </c>
      <c r="CK69" s="5">
        <f t="shared" si="43"/>
        <v>1.1747531919833734</v>
      </c>
      <c r="CL69" s="5"/>
      <c r="CM69" s="5"/>
      <c r="CN69" s="5"/>
      <c r="CO69" s="51"/>
      <c r="CQ69" s="51">
        <f t="shared" si="50"/>
        <v>2.7702933870967739</v>
      </c>
      <c r="CR69" s="6">
        <v>171.75818999999998</v>
      </c>
      <c r="CS69" s="133" t="s">
        <v>168</v>
      </c>
      <c r="CT69" s="4">
        <v>40705</v>
      </c>
      <c r="CU69" s="7">
        <f t="shared" si="51"/>
        <v>2770.293387096774</v>
      </c>
      <c r="CV69">
        <f t="shared" si="52"/>
        <v>27</v>
      </c>
      <c r="CW69" s="9">
        <f t="shared" si="53"/>
        <v>67</v>
      </c>
      <c r="CX69" s="7">
        <f t="shared" si="55"/>
        <v>1401.6872160934456</v>
      </c>
      <c r="CY69" s="5">
        <f t="shared" si="54"/>
        <v>3.8830848255217592</v>
      </c>
      <c r="DA69" s="5"/>
      <c r="DB69" s="126"/>
      <c r="DC69" s="127"/>
      <c r="DD69" s="129"/>
      <c r="DE69" s="17"/>
      <c r="DF69" s="128"/>
      <c r="DG69" s="128"/>
      <c r="DH69" s="87"/>
      <c r="DI69" s="17"/>
      <c r="DJ69" s="128"/>
      <c r="DK69" s="87"/>
      <c r="DL69" s="17"/>
      <c r="DM69" s="87"/>
      <c r="DN69" s="87"/>
      <c r="DO69" s="87"/>
      <c r="DP69" s="87"/>
      <c r="DQ69" s="17"/>
      <c r="DR69" s="17"/>
      <c r="DU69" s="5"/>
      <c r="DV69" s="7"/>
      <c r="DX69" s="7"/>
      <c r="DY69" s="7"/>
      <c r="DZ69" s="5"/>
    </row>
    <row r="70" spans="1:130">
      <c r="A70">
        <v>17</v>
      </c>
      <c r="B70">
        <v>6.2E-2</v>
      </c>
      <c r="D70" s="7"/>
      <c r="F70" s="19"/>
      <c r="G70" s="39"/>
      <c r="H70" s="35"/>
      <c r="I70" s="4"/>
      <c r="J70" s="5">
        <v>0.65300000000000002</v>
      </c>
      <c r="K70" s="76">
        <f t="shared" si="66"/>
        <v>653</v>
      </c>
      <c r="L70" s="107">
        <v>40663</v>
      </c>
      <c r="O70" s="4">
        <v>40663</v>
      </c>
      <c r="P70" s="23">
        <v>653</v>
      </c>
      <c r="Q70" s="24">
        <f t="shared" si="21"/>
        <v>1</v>
      </c>
      <c r="R70" s="114">
        <f t="shared" si="22"/>
        <v>26</v>
      </c>
      <c r="S70" s="39">
        <f t="shared" si="2"/>
        <v>0.65300000000000002</v>
      </c>
      <c r="T70" s="5">
        <f t="shared" si="3"/>
        <v>11.754</v>
      </c>
      <c r="U70" s="7">
        <f t="shared" si="4"/>
        <v>83.720930232558146</v>
      </c>
      <c r="V70">
        <f t="shared" si="45"/>
        <v>3.2</v>
      </c>
      <c r="W70" s="77">
        <v>4</v>
      </c>
      <c r="X70" s="6">
        <f t="shared" si="23"/>
        <v>0.33488372093023261</v>
      </c>
      <c r="Y70" s="6">
        <f t="shared" si="24"/>
        <v>5.4669767441860473E-2</v>
      </c>
      <c r="Z70" s="5">
        <f t="shared" si="46"/>
        <v>0.28021395348837214</v>
      </c>
      <c r="AA70" s="113">
        <f t="shared" si="5"/>
        <v>8.7566860465116289E-2</v>
      </c>
      <c r="AB70" s="5">
        <f t="shared" si="25"/>
        <v>8.7566860465116289E-2</v>
      </c>
      <c r="AC70" s="80">
        <f t="shared" si="26"/>
        <v>0.33488372093023261</v>
      </c>
      <c r="AD70" s="5">
        <f t="shared" si="27"/>
        <v>1.1291104815864021</v>
      </c>
      <c r="AE70" s="5">
        <f t="shared" si="28"/>
        <v>2.0895999999999999</v>
      </c>
      <c r="AF70" s="5">
        <f t="shared" si="29"/>
        <v>5.4669767441860473E-2</v>
      </c>
      <c r="AG70" s="7">
        <f t="shared" si="6"/>
        <v>1129.1104815864021</v>
      </c>
      <c r="AH70" s="5">
        <f t="shared" si="30"/>
        <v>0.28021395348837214</v>
      </c>
      <c r="AI70" s="7">
        <f t="shared" si="31"/>
        <v>87.566860465116278</v>
      </c>
      <c r="AJ70" s="6">
        <f t="shared" si="32"/>
        <v>0.28021395348837214</v>
      </c>
      <c r="AK70" s="5">
        <f t="shared" si="47"/>
        <v>52.882477255693075</v>
      </c>
      <c r="AL70" s="5"/>
      <c r="AM70" s="7"/>
      <c r="AO70" s="18"/>
      <c r="AP70" s="4">
        <f t="shared" si="57"/>
        <v>40661</v>
      </c>
      <c r="AQ70" s="36">
        <f>+AU69</f>
        <v>0.24513888888888888</v>
      </c>
      <c r="AR70">
        <f>+AV69</f>
        <v>3000</v>
      </c>
      <c r="AT70" s="4">
        <v>40662</v>
      </c>
      <c r="AU70" s="36">
        <v>0.38541666666666669</v>
      </c>
      <c r="AV70">
        <v>1600</v>
      </c>
      <c r="AX70" s="45">
        <f t="shared" si="7"/>
        <v>1227.7710109622412</v>
      </c>
      <c r="AY70" s="45">
        <f t="shared" si="8"/>
        <v>0</v>
      </c>
      <c r="AZ70" s="7">
        <f t="shared" si="9"/>
        <v>1227.7710109622412</v>
      </c>
      <c r="BA70" s="18">
        <f t="shared" si="10"/>
        <v>1</v>
      </c>
      <c r="BB70" s="6">
        <f t="shared" si="11"/>
        <v>27.366666666666667</v>
      </c>
      <c r="BI70" s="91"/>
      <c r="BJ70" s="27"/>
      <c r="BK70" s="21"/>
      <c r="BL70" s="12">
        <v>40661</v>
      </c>
      <c r="BM70" s="72">
        <f t="shared" si="12"/>
        <v>217.39130434782609</v>
      </c>
      <c r="BN70" s="24">
        <f t="shared" si="34"/>
        <v>1</v>
      </c>
      <c r="BO70" s="21">
        <f t="shared" si="35"/>
        <v>24</v>
      </c>
      <c r="BP70" s="5">
        <v>10</v>
      </c>
      <c r="BQ70" s="7">
        <f t="shared" si="63"/>
        <v>1227.7710109622412</v>
      </c>
      <c r="BR70" s="7"/>
      <c r="BS70" s="7">
        <f t="shared" si="64"/>
        <v>1227.7710109622412</v>
      </c>
      <c r="BT70">
        <f t="shared" si="59"/>
        <v>3.2</v>
      </c>
      <c r="BU70">
        <f t="shared" si="67"/>
        <v>4</v>
      </c>
      <c r="BV70" s="6">
        <f t="shared" si="15"/>
        <v>4.9110840438489651</v>
      </c>
      <c r="BW70" s="6">
        <f t="shared" si="16"/>
        <v>0.26690674151353072</v>
      </c>
      <c r="BX70" s="5">
        <f t="shared" si="17"/>
        <v>4.644177302335434</v>
      </c>
      <c r="BY70" s="5">
        <f t="shared" si="18"/>
        <v>1.451305406979823</v>
      </c>
      <c r="BZ70" s="5">
        <f t="shared" si="19"/>
        <v>1.451305406979823</v>
      </c>
      <c r="CA70" s="5">
        <f t="shared" si="20"/>
        <v>4.9110840438489651</v>
      </c>
      <c r="CB70" s="7">
        <f t="shared" si="36"/>
        <v>58.241149148226832</v>
      </c>
      <c r="CC70" s="5">
        <f t="shared" si="37"/>
        <v>1.1650725557394057</v>
      </c>
      <c r="CD70" s="7">
        <f t="shared" ref="CD70:CD78" si="68">+BO75</f>
        <v>29</v>
      </c>
      <c r="CE70" s="5">
        <f t="shared" si="38"/>
        <v>2.3776397515527945</v>
      </c>
      <c r="CF70" s="5">
        <f t="shared" si="39"/>
        <v>69.004911936058988</v>
      </c>
      <c r="CG70">
        <f t="shared" ref="CG70:CG77" si="69">+R72</f>
        <v>29</v>
      </c>
      <c r="CH70" s="5">
        <f t="shared" si="40"/>
        <v>2.0709542857142855</v>
      </c>
      <c r="CI70" s="5">
        <f t="shared" si="41"/>
        <v>60.210695629805151</v>
      </c>
      <c r="CJ70" s="5">
        <f t="shared" si="42"/>
        <v>1.1480889597390274</v>
      </c>
      <c r="CK70" s="5">
        <f t="shared" si="43"/>
        <v>1.1460573775849314</v>
      </c>
      <c r="CL70" s="5"/>
      <c r="CM70" s="5"/>
      <c r="CN70" s="5"/>
      <c r="CO70" s="51"/>
      <c r="CQ70" s="51">
        <f t="shared" si="50"/>
        <v>1.0903976612903226</v>
      </c>
      <c r="CR70" s="6">
        <v>67.604654999999994</v>
      </c>
      <c r="CS70" s="134" t="s">
        <v>169</v>
      </c>
      <c r="CT70" s="4">
        <v>40707</v>
      </c>
      <c r="CU70" s="7">
        <f t="shared" si="51"/>
        <v>1090.3976612903225</v>
      </c>
      <c r="CV70">
        <f t="shared" si="52"/>
        <v>2</v>
      </c>
      <c r="CW70" s="9">
        <f t="shared" si="53"/>
        <v>69</v>
      </c>
      <c r="CX70" s="7">
        <f t="shared" si="55"/>
        <v>2401.9062748212864</v>
      </c>
      <c r="CY70" s="5">
        <f t="shared" si="54"/>
        <v>2.6190329847036815</v>
      </c>
      <c r="DA70" s="5"/>
      <c r="DB70" s="126"/>
      <c r="DC70" s="127"/>
      <c r="DD70" s="129"/>
      <c r="DE70" s="17"/>
      <c r="DF70" s="128"/>
      <c r="DG70" s="128"/>
      <c r="DH70" s="87"/>
      <c r="DI70" s="17"/>
      <c r="DJ70" s="128"/>
      <c r="DK70" s="87"/>
      <c r="DL70" s="17"/>
      <c r="DM70" s="87"/>
      <c r="DN70" s="87"/>
      <c r="DO70" s="87"/>
      <c r="DP70" s="87"/>
      <c r="DQ70" s="17"/>
      <c r="DR70" s="17"/>
      <c r="DU70" s="5"/>
      <c r="DV70" s="7"/>
      <c r="DX70" s="7"/>
      <c r="DY70" s="7"/>
      <c r="DZ70" s="5"/>
    </row>
    <row r="71" spans="1:130">
      <c r="A71">
        <v>18</v>
      </c>
      <c r="B71">
        <v>2.5000000000000001E-2</v>
      </c>
      <c r="C71">
        <f>AVERAGE(B71:B72)</f>
        <v>2.4500000000000001E-2</v>
      </c>
      <c r="D71" s="7"/>
      <c r="F71" s="3"/>
      <c r="G71" s="39"/>
      <c r="H71" s="35"/>
      <c r="I71" s="4"/>
      <c r="J71" s="5">
        <v>0.50159999999999993</v>
      </c>
      <c r="K71" s="76">
        <f t="shared" si="66"/>
        <v>501.59999999999991</v>
      </c>
      <c r="L71" s="107">
        <v>40665</v>
      </c>
      <c r="M71" s="76">
        <v>501.61799999999994</v>
      </c>
      <c r="N71" s="104">
        <v>40665</v>
      </c>
      <c r="O71" s="4">
        <v>40665</v>
      </c>
      <c r="P71" s="23">
        <v>501.59999999999991</v>
      </c>
      <c r="Q71" s="24">
        <f t="shared" si="21"/>
        <v>2</v>
      </c>
      <c r="R71" s="114">
        <f t="shared" si="22"/>
        <v>28</v>
      </c>
      <c r="S71" s="39">
        <f t="shared" si="2"/>
        <v>0.50159999999999993</v>
      </c>
      <c r="T71" s="5">
        <f t="shared" si="3"/>
        <v>9.0287999999999986</v>
      </c>
      <c r="U71" s="7">
        <f t="shared" si="4"/>
        <v>751.38121546961327</v>
      </c>
      <c r="V71">
        <f t="shared" si="45"/>
        <v>3.2</v>
      </c>
      <c r="W71" s="77">
        <f t="shared" ref="W71:W79" si="70">+W70</f>
        <v>4</v>
      </c>
      <c r="X71" s="6">
        <f t="shared" si="23"/>
        <v>3.0055248618784529</v>
      </c>
      <c r="Y71" s="6">
        <f t="shared" si="24"/>
        <v>0.37689281767955796</v>
      </c>
      <c r="Z71" s="5">
        <f t="shared" si="46"/>
        <v>2.6286320441988948</v>
      </c>
      <c r="AA71" s="113">
        <f t="shared" si="5"/>
        <v>0.82144751381215464</v>
      </c>
      <c r="AB71" s="5">
        <f t="shared" si="25"/>
        <v>0.82144751381215475</v>
      </c>
      <c r="AC71" s="80">
        <f t="shared" si="26"/>
        <v>3.0055248618784529</v>
      </c>
      <c r="AD71" s="5">
        <f t="shared" si="27"/>
        <v>1.289454138702461</v>
      </c>
      <c r="AE71" s="5">
        <f t="shared" si="28"/>
        <v>1.6051199999999999</v>
      </c>
      <c r="AF71" s="5">
        <f t="shared" si="29"/>
        <v>0.37689281767955796</v>
      </c>
      <c r="AG71" s="7">
        <f t="shared" si="6"/>
        <v>1289.454138702461</v>
      </c>
      <c r="AH71" s="5">
        <f t="shared" si="30"/>
        <v>2.6286320441988948</v>
      </c>
      <c r="AI71" s="7">
        <f t="shared" si="31"/>
        <v>821.44751381215451</v>
      </c>
      <c r="AJ71" s="6">
        <f t="shared" si="32"/>
        <v>5.2572640883977897</v>
      </c>
      <c r="AK71" s="5">
        <f t="shared" si="47"/>
        <v>58.139741344090865</v>
      </c>
      <c r="AL71" s="5"/>
      <c r="AM71" s="7"/>
      <c r="AO71" s="18"/>
      <c r="AP71" s="4">
        <f t="shared" si="57"/>
        <v>40662</v>
      </c>
      <c r="AQ71" s="36">
        <v>0.81944444444444453</v>
      </c>
      <c r="AR71">
        <v>4600</v>
      </c>
      <c r="AT71" s="4">
        <v>40663</v>
      </c>
      <c r="AU71" s="36">
        <v>0.77777777777777779</v>
      </c>
      <c r="AV71">
        <v>3750</v>
      </c>
      <c r="AX71" s="45">
        <f t="shared" si="7"/>
        <v>886.95652173913027</v>
      </c>
      <c r="AY71" s="45">
        <f t="shared" si="8"/>
        <v>0</v>
      </c>
      <c r="AZ71" s="7">
        <f t="shared" si="9"/>
        <v>886.95652173913027</v>
      </c>
      <c r="BA71" s="18">
        <f t="shared" si="10"/>
        <v>1</v>
      </c>
      <c r="BB71" s="6">
        <f t="shared" si="11"/>
        <v>23.000000000000004</v>
      </c>
      <c r="BI71" s="91"/>
      <c r="BJ71" s="99">
        <v>19.641999999999999</v>
      </c>
      <c r="BK71" s="94">
        <v>40662</v>
      </c>
      <c r="BL71" s="12">
        <v>40662</v>
      </c>
      <c r="BM71" s="72">
        <f t="shared" si="12"/>
        <v>434.78260869565219</v>
      </c>
      <c r="BN71" s="24">
        <f t="shared" si="34"/>
        <v>1</v>
      </c>
      <c r="BO71" s="21">
        <f t="shared" si="35"/>
        <v>25</v>
      </c>
      <c r="BP71" s="5">
        <v>20</v>
      </c>
      <c r="BQ71" s="7">
        <f t="shared" si="63"/>
        <v>886.95652173913027</v>
      </c>
      <c r="BR71" s="7"/>
      <c r="BS71" s="7">
        <f t="shared" si="64"/>
        <v>886.95652173913027</v>
      </c>
      <c r="BT71">
        <f t="shared" si="59"/>
        <v>3.2</v>
      </c>
      <c r="BU71">
        <f t="shared" si="67"/>
        <v>4</v>
      </c>
      <c r="BV71" s="6">
        <f t="shared" si="15"/>
        <v>3.5478260869565212</v>
      </c>
      <c r="BW71" s="6">
        <f t="shared" si="16"/>
        <v>0.38563327032136102</v>
      </c>
      <c r="BX71" s="5">
        <f t="shared" si="17"/>
        <v>3.1621928166351601</v>
      </c>
      <c r="BY71" s="5">
        <f t="shared" si="18"/>
        <v>0.98818525519848743</v>
      </c>
      <c r="BZ71" s="5">
        <f t="shared" si="19"/>
        <v>0.98818525519848743</v>
      </c>
      <c r="CA71" s="5">
        <f t="shared" si="20"/>
        <v>3.5478260869565212</v>
      </c>
      <c r="CB71" s="7">
        <f t="shared" si="36"/>
        <v>61.788975235183351</v>
      </c>
      <c r="CC71" s="5">
        <f t="shared" si="37"/>
        <v>1.1746448034032331</v>
      </c>
      <c r="CD71" s="7">
        <f t="shared" si="68"/>
        <v>30</v>
      </c>
      <c r="CE71" s="5">
        <f t="shared" si="38"/>
        <v>2.4043885714285711</v>
      </c>
      <c r="CF71" s="5">
        <f t="shared" si="39"/>
        <v>71.473483364630411</v>
      </c>
      <c r="CG71">
        <f t="shared" si="69"/>
        <v>30</v>
      </c>
      <c r="CH71" s="5">
        <f t="shared" si="40"/>
        <v>1.8178683428571429</v>
      </c>
      <c r="CI71" s="5">
        <f t="shared" si="41"/>
        <v>62.028563972662297</v>
      </c>
      <c r="CJ71" s="5">
        <f t="shared" si="42"/>
        <v>1.3226417528398093</v>
      </c>
      <c r="CK71" s="5">
        <f t="shared" si="43"/>
        <v>1.1522672586154139</v>
      </c>
      <c r="CL71" s="5"/>
      <c r="CM71" s="5"/>
      <c r="CN71" s="5"/>
      <c r="CO71" s="51"/>
      <c r="CQ71" s="51">
        <f t="shared" si="50"/>
        <v>2.9123380645161294</v>
      </c>
      <c r="CR71" s="6">
        <v>180.56496000000001</v>
      </c>
      <c r="CS71" s="134" t="s">
        <v>170</v>
      </c>
      <c r="CT71" s="56">
        <v>40709</v>
      </c>
      <c r="CU71" s="15">
        <f t="shared" si="51"/>
        <v>2912.3380645161296</v>
      </c>
      <c r="CV71" s="16">
        <f t="shared" si="52"/>
        <v>2</v>
      </c>
      <c r="CW71" s="57">
        <f t="shared" si="53"/>
        <v>71</v>
      </c>
      <c r="CX71" s="7">
        <f t="shared" si="55"/>
        <v>1957.8518014955812</v>
      </c>
      <c r="CY71" s="5">
        <f t="shared" si="54"/>
        <v>5.7019263261770581</v>
      </c>
      <c r="DA71" s="5"/>
      <c r="DB71" s="126"/>
      <c r="DC71" s="127"/>
      <c r="DD71" s="129"/>
      <c r="DE71" s="17"/>
      <c r="DF71" s="128"/>
      <c r="DG71" s="128"/>
      <c r="DH71" s="87"/>
      <c r="DI71" s="17"/>
      <c r="DJ71" s="128"/>
      <c r="DK71" s="87"/>
      <c r="DL71" s="17"/>
      <c r="DM71" s="87"/>
      <c r="DN71" s="87"/>
      <c r="DO71" s="87"/>
      <c r="DP71" s="87"/>
      <c r="DQ71" s="17"/>
      <c r="DR71" s="17"/>
      <c r="DU71" s="5"/>
      <c r="DV71" s="7"/>
      <c r="DX71" s="7"/>
      <c r="DY71" s="7"/>
      <c r="DZ71" s="5"/>
    </row>
    <row r="72" spans="1:130">
      <c r="A72">
        <v>18</v>
      </c>
      <c r="B72">
        <v>2.4E-2</v>
      </c>
      <c r="D72" s="7"/>
      <c r="F72" s="19"/>
      <c r="G72" s="39"/>
      <c r="H72" s="35"/>
      <c r="I72" s="4"/>
      <c r="J72" s="5">
        <v>0.70529999999999993</v>
      </c>
      <c r="K72" s="76">
        <f t="shared" si="66"/>
        <v>705.3</v>
      </c>
      <c r="L72" s="107">
        <v>40666</v>
      </c>
      <c r="M72" s="76">
        <v>705.2940000000001</v>
      </c>
      <c r="N72" s="104">
        <v>40666</v>
      </c>
      <c r="O72" s="4">
        <v>40666</v>
      </c>
      <c r="P72" s="23">
        <v>705.3</v>
      </c>
      <c r="Q72" s="24">
        <f t="shared" si="21"/>
        <v>1</v>
      </c>
      <c r="R72" s="114">
        <f t="shared" si="22"/>
        <v>29</v>
      </c>
      <c r="S72" s="39">
        <f t="shared" si="2"/>
        <v>0.70529999999999993</v>
      </c>
      <c r="T72" s="5">
        <f t="shared" si="3"/>
        <v>12.695399999999999</v>
      </c>
      <c r="U72" s="7">
        <f t="shared" si="4"/>
        <v>628.57142857142844</v>
      </c>
      <c r="V72">
        <f t="shared" si="45"/>
        <v>3.2</v>
      </c>
      <c r="W72" s="77">
        <f t="shared" si="70"/>
        <v>4</v>
      </c>
      <c r="X72" s="6">
        <f t="shared" si="23"/>
        <v>2.5142857142857138</v>
      </c>
      <c r="Y72" s="6">
        <f t="shared" si="24"/>
        <v>0.44333142857142849</v>
      </c>
      <c r="Z72" s="5">
        <f t="shared" si="46"/>
        <v>2.0709542857142855</v>
      </c>
      <c r="AA72" s="113">
        <f t="shared" si="5"/>
        <v>0.64717321428571417</v>
      </c>
      <c r="AB72" s="5">
        <f t="shared" si="25"/>
        <v>0.64717321428571417</v>
      </c>
      <c r="AC72" s="80">
        <f t="shared" si="26"/>
        <v>2.5142857142857138</v>
      </c>
      <c r="AD72" s="5">
        <f t="shared" si="27"/>
        <v>1.0759641791044774</v>
      </c>
      <c r="AE72" s="5">
        <f t="shared" si="28"/>
        <v>2.2569599999999999</v>
      </c>
      <c r="AF72" s="5">
        <f t="shared" si="29"/>
        <v>0.44333142857142843</v>
      </c>
      <c r="AG72" s="7">
        <f t="shared" si="6"/>
        <v>1075.9641791044774</v>
      </c>
      <c r="AH72" s="5">
        <f t="shared" si="30"/>
        <v>2.0709542857142855</v>
      </c>
      <c r="AI72" s="7">
        <f t="shared" si="31"/>
        <v>647.17321428571415</v>
      </c>
      <c r="AJ72" s="6">
        <f t="shared" si="32"/>
        <v>2.0709542857142855</v>
      </c>
      <c r="AK72" s="5">
        <f t="shared" si="47"/>
        <v>60.210695629805151</v>
      </c>
      <c r="AL72" s="5"/>
      <c r="AM72" s="7"/>
      <c r="AO72" s="18"/>
      <c r="AP72" s="4">
        <f t="shared" si="57"/>
        <v>40663</v>
      </c>
      <c r="AQ72" s="36">
        <f t="shared" ref="AQ72:AR76" si="71">+AU71</f>
        <v>0.77777777777777779</v>
      </c>
      <c r="AR72">
        <f t="shared" si="71"/>
        <v>3750</v>
      </c>
      <c r="AT72" s="4">
        <v>40664</v>
      </c>
      <c r="AU72" s="36">
        <v>0.375</v>
      </c>
      <c r="AV72">
        <v>3700</v>
      </c>
      <c r="AX72" s="45">
        <f t="shared" si="7"/>
        <v>83.720930232558146</v>
      </c>
      <c r="AY72" s="45">
        <f t="shared" si="8"/>
        <v>0</v>
      </c>
      <c r="AZ72" s="7">
        <f t="shared" si="9"/>
        <v>83.720930232558146</v>
      </c>
      <c r="BA72" s="18">
        <f t="shared" si="10"/>
        <v>1</v>
      </c>
      <c r="BB72" s="6">
        <f t="shared" si="11"/>
        <v>14.333333333333334</v>
      </c>
      <c r="BI72" s="91"/>
      <c r="BJ72" s="99">
        <v>1.748</v>
      </c>
      <c r="BK72" s="94">
        <v>40663</v>
      </c>
      <c r="BL72" s="12">
        <v>40663</v>
      </c>
      <c r="BM72" s="72">
        <f t="shared" si="12"/>
        <v>38</v>
      </c>
      <c r="BN72" s="24">
        <f t="shared" si="34"/>
        <v>1</v>
      </c>
      <c r="BO72" s="21">
        <f t="shared" si="35"/>
        <v>26</v>
      </c>
      <c r="BP72" s="5">
        <f>+BJ72</f>
        <v>1.748</v>
      </c>
      <c r="BQ72" s="7">
        <f t="shared" si="63"/>
        <v>83.720930232558146</v>
      </c>
      <c r="BR72" s="7"/>
      <c r="BS72" s="7">
        <f t="shared" si="64"/>
        <v>83.720930232558146</v>
      </c>
      <c r="BT72">
        <f t="shared" si="59"/>
        <v>3.2</v>
      </c>
      <c r="BU72">
        <f t="shared" si="67"/>
        <v>4</v>
      </c>
      <c r="BV72" s="6">
        <f t="shared" si="15"/>
        <v>0.33488372093023261</v>
      </c>
      <c r="BW72" s="6">
        <f t="shared" si="16"/>
        <v>3.1813953488372096E-3</v>
      </c>
      <c r="BX72" s="5">
        <f t="shared" si="17"/>
        <v>0.3317023255813954</v>
      </c>
      <c r="BY72" s="5">
        <f t="shared" si="18"/>
        <v>0.10365697674418606</v>
      </c>
      <c r="BZ72" s="5">
        <f t="shared" si="19"/>
        <v>0.10365697674418606</v>
      </c>
      <c r="CA72" s="5">
        <f t="shared" si="20"/>
        <v>0.33488372093023261</v>
      </c>
      <c r="CB72" s="7">
        <f t="shared" si="36"/>
        <v>62.123858956113587</v>
      </c>
      <c r="CC72" s="5">
        <f t="shared" si="37"/>
        <v>1.1747531919833734</v>
      </c>
      <c r="CD72" s="7">
        <f t="shared" si="68"/>
        <v>31</v>
      </c>
      <c r="CE72" s="5">
        <f t="shared" si="38"/>
        <v>1.6411034482758622</v>
      </c>
      <c r="CF72" s="5">
        <f t="shared" si="39"/>
        <v>73.128655778423521</v>
      </c>
      <c r="CG72">
        <f t="shared" si="69"/>
        <v>31</v>
      </c>
      <c r="CH72" s="5">
        <f t="shared" si="40"/>
        <v>1.3588303448275862</v>
      </c>
      <c r="CI72" s="5">
        <f t="shared" si="41"/>
        <v>63.387394317489886</v>
      </c>
      <c r="CJ72" s="5">
        <f t="shared" si="42"/>
        <v>1.2077324108360943</v>
      </c>
      <c r="CK72" s="5">
        <f t="shared" si="43"/>
        <v>1.1536782126134157</v>
      </c>
      <c r="CL72" s="5"/>
      <c r="CM72" s="5"/>
      <c r="CN72" s="5"/>
      <c r="CO72" s="51"/>
      <c r="CQ72" s="51">
        <f t="shared" si="50"/>
        <v>1.1657683064516127</v>
      </c>
      <c r="CR72" s="6">
        <v>72.277634999999989</v>
      </c>
      <c r="CS72" s="134" t="s">
        <v>171</v>
      </c>
      <c r="CT72" s="56">
        <v>40711</v>
      </c>
      <c r="CU72" s="15">
        <f t="shared" si="51"/>
        <v>1165.7683064516127</v>
      </c>
      <c r="CV72" s="16">
        <f t="shared" si="52"/>
        <v>2</v>
      </c>
      <c r="CW72" s="57">
        <f t="shared" si="53"/>
        <v>73</v>
      </c>
      <c r="CX72" s="7">
        <f t="shared" si="55"/>
        <v>2754.0983606557375</v>
      </c>
      <c r="CY72" s="5">
        <f t="shared" si="54"/>
        <v>3.2106405817028021</v>
      </c>
      <c r="DA72" s="5"/>
      <c r="DB72" s="126"/>
      <c r="DC72" s="127"/>
      <c r="DD72" s="129"/>
      <c r="DE72" s="17"/>
      <c r="DF72" s="128"/>
      <c r="DG72" s="128"/>
      <c r="DH72" s="87"/>
      <c r="DI72" s="17"/>
      <c r="DJ72" s="128"/>
      <c r="DK72" s="87"/>
      <c r="DL72" s="17"/>
      <c r="DM72" s="87"/>
      <c r="DN72" s="87"/>
      <c r="DO72" s="87"/>
      <c r="DP72" s="87"/>
      <c r="DQ72" s="17"/>
      <c r="DR72" s="17"/>
      <c r="DU72" s="5"/>
      <c r="DV72" s="7"/>
      <c r="DX72" s="7"/>
      <c r="DY72" s="7"/>
      <c r="DZ72" s="5"/>
    </row>
    <row r="73" spans="1:130">
      <c r="A73">
        <v>19</v>
      </c>
      <c r="B73">
        <v>0.185</v>
      </c>
      <c r="C73">
        <f>AVERAGE(B73:B74)</f>
        <v>0.1845</v>
      </c>
      <c r="D73" s="7"/>
      <c r="F73" s="3"/>
      <c r="G73" s="39"/>
      <c r="H73" s="35"/>
      <c r="I73" s="4"/>
      <c r="J73" s="5">
        <v>1.0543799999999999</v>
      </c>
      <c r="K73" s="76">
        <f t="shared" si="66"/>
        <v>1054.3799999999999</v>
      </c>
      <c r="L73" s="107">
        <v>40667</v>
      </c>
      <c r="M73" s="76">
        <v>1054.404</v>
      </c>
      <c r="N73" s="104">
        <v>40667</v>
      </c>
      <c r="O73" s="4">
        <v>40667</v>
      </c>
      <c r="P73" s="23">
        <v>1054.3799999999999</v>
      </c>
      <c r="Q73" s="24">
        <f t="shared" si="21"/>
        <v>1</v>
      </c>
      <c r="R73" s="114">
        <f t="shared" si="22"/>
        <v>30</v>
      </c>
      <c r="S73" s="39">
        <f t="shared" si="2"/>
        <v>1.0543799999999999</v>
      </c>
      <c r="T73" s="5">
        <f t="shared" si="3"/>
        <v>18.978839999999998</v>
      </c>
      <c r="U73" s="7">
        <f t="shared" si="4"/>
        <v>617.14285714285711</v>
      </c>
      <c r="V73">
        <f t="shared" si="45"/>
        <v>3.2</v>
      </c>
      <c r="W73" s="77">
        <f t="shared" si="70"/>
        <v>4</v>
      </c>
      <c r="X73" s="6">
        <f t="shared" si="23"/>
        <v>2.4685714285714284</v>
      </c>
      <c r="Y73" s="6">
        <f t="shared" si="24"/>
        <v>0.65070308571428559</v>
      </c>
      <c r="Z73" s="5">
        <f t="shared" si="46"/>
        <v>1.8178683428571429</v>
      </c>
      <c r="AA73" s="113">
        <f t="shared" si="5"/>
        <v>0.56808385714285714</v>
      </c>
      <c r="AB73" s="5">
        <f t="shared" si="25"/>
        <v>0.56808385714285703</v>
      </c>
      <c r="AC73" s="80">
        <f t="shared" si="26"/>
        <v>2.4685714285714284</v>
      </c>
      <c r="AD73" s="5">
        <f t="shared" si="27"/>
        <v>1.2379760479041915</v>
      </c>
      <c r="AE73" s="5">
        <f t="shared" si="28"/>
        <v>3.3740159999999997</v>
      </c>
      <c r="AF73" s="5">
        <f t="shared" si="29"/>
        <v>0.65070308571428559</v>
      </c>
      <c r="AG73" s="7">
        <f t="shared" si="6"/>
        <v>1237.9760479041915</v>
      </c>
      <c r="AH73" s="5">
        <f t="shared" si="30"/>
        <v>1.8178683428571429</v>
      </c>
      <c r="AI73" s="7">
        <f t="shared" si="31"/>
        <v>568.08385714285714</v>
      </c>
      <c r="AJ73" s="6">
        <f t="shared" si="32"/>
        <v>1.8178683428571429</v>
      </c>
      <c r="AK73" s="5">
        <f t="shared" si="47"/>
        <v>62.028563972662297</v>
      </c>
      <c r="AL73" s="5"/>
      <c r="AM73" s="7"/>
      <c r="AO73" s="18"/>
      <c r="AP73" s="4">
        <f t="shared" si="57"/>
        <v>40664</v>
      </c>
      <c r="AQ73" s="36">
        <f t="shared" si="71"/>
        <v>0.375</v>
      </c>
      <c r="AR73">
        <f t="shared" si="71"/>
        <v>3700</v>
      </c>
      <c r="AT73" s="4">
        <v>40665</v>
      </c>
      <c r="AU73" s="36">
        <v>0.40347222222222223</v>
      </c>
      <c r="AV73">
        <v>3350</v>
      </c>
      <c r="AX73" s="45">
        <f t="shared" si="7"/>
        <v>340.31060094530716</v>
      </c>
      <c r="AY73" s="45">
        <f t="shared" si="8"/>
        <v>0</v>
      </c>
      <c r="AZ73" s="7">
        <f t="shared" si="9"/>
        <v>340.31060094530716</v>
      </c>
      <c r="BA73" s="18">
        <f t="shared" si="10"/>
        <v>1</v>
      </c>
      <c r="BB73" s="6">
        <f t="shared" si="11"/>
        <v>24.683333333333337</v>
      </c>
      <c r="BI73" s="91"/>
      <c r="BJ73" s="27"/>
      <c r="BK73" s="21"/>
      <c r="BL73" s="12">
        <v>40664</v>
      </c>
      <c r="BM73" s="72">
        <f t="shared" si="12"/>
        <v>0</v>
      </c>
      <c r="BN73" s="24">
        <f t="shared" si="34"/>
        <v>1</v>
      </c>
      <c r="BO73" s="21">
        <f t="shared" si="35"/>
        <v>27</v>
      </c>
      <c r="BP73" s="5">
        <v>0</v>
      </c>
      <c r="BQ73" s="7">
        <f t="shared" si="63"/>
        <v>340.31060094530716</v>
      </c>
      <c r="BR73" s="7"/>
      <c r="BS73" s="7">
        <f t="shared" si="64"/>
        <v>340.31060094530716</v>
      </c>
      <c r="BT73">
        <f t="shared" si="59"/>
        <v>3.2</v>
      </c>
      <c r="BU73">
        <f t="shared" si="67"/>
        <v>4</v>
      </c>
      <c r="BV73" s="6">
        <f t="shared" si="15"/>
        <v>1.3612424037812287</v>
      </c>
      <c r="BW73" s="6">
        <f t="shared" si="16"/>
        <v>0</v>
      </c>
      <c r="BX73" s="5">
        <f t="shared" si="17"/>
        <v>1.3612424037812287</v>
      </c>
      <c r="BY73" s="5">
        <f t="shared" si="18"/>
        <v>0.42538825118163398</v>
      </c>
      <c r="BZ73" s="5">
        <f t="shared" si="19"/>
        <v>0.42538825118163398</v>
      </c>
      <c r="CA73" s="5">
        <f t="shared" si="20"/>
        <v>1.3612424037812287</v>
      </c>
      <c r="CB73" s="7">
        <f t="shared" si="36"/>
        <v>63.485101359894813</v>
      </c>
      <c r="CC73" s="5">
        <f t="shared" si="37"/>
        <v>1.2004940890521596</v>
      </c>
      <c r="CD73" s="7">
        <f t="shared" si="68"/>
        <v>32</v>
      </c>
      <c r="CE73" s="5">
        <f t="shared" si="38"/>
        <v>3.2673211781206173</v>
      </c>
      <c r="CF73" s="5">
        <f t="shared" si="39"/>
        <v>76.431881584875129</v>
      </c>
      <c r="CG73">
        <f t="shared" si="69"/>
        <v>32</v>
      </c>
      <c r="CH73" s="5">
        <f t="shared" si="40"/>
        <v>2.4496061935483873</v>
      </c>
      <c r="CI73" s="5">
        <f t="shared" si="41"/>
        <v>65.837000511038269</v>
      </c>
      <c r="CJ73" s="5">
        <f t="shared" si="42"/>
        <v>1.3338148747034826</v>
      </c>
      <c r="CK73" s="5">
        <f t="shared" si="43"/>
        <v>1.1609259381745454</v>
      </c>
      <c r="CL73" s="5"/>
      <c r="CM73" s="5"/>
      <c r="CN73" s="5"/>
      <c r="CO73" s="51"/>
      <c r="CQ73" s="51">
        <f t="shared" si="50"/>
        <v>2.2369011290322582</v>
      </c>
      <c r="CR73" s="6">
        <v>138.68787</v>
      </c>
      <c r="CS73" s="134" t="s">
        <v>172</v>
      </c>
      <c r="CT73" s="56">
        <v>40712</v>
      </c>
      <c r="CU73" s="15">
        <f t="shared" si="51"/>
        <v>2236.9011290322583</v>
      </c>
      <c r="CV73" s="16">
        <f t="shared" si="52"/>
        <v>1</v>
      </c>
      <c r="CW73" s="57">
        <f t="shared" si="53"/>
        <v>74</v>
      </c>
      <c r="CX73" s="7">
        <f t="shared" si="55"/>
        <v>2596.5439519158526</v>
      </c>
      <c r="CY73" s="5">
        <f t="shared" si="54"/>
        <v>5.8082120976224516</v>
      </c>
      <c r="DA73" s="5"/>
      <c r="DB73" s="126"/>
      <c r="DC73" s="127"/>
      <c r="DD73" s="129"/>
      <c r="DE73" s="17"/>
      <c r="DF73" s="128"/>
      <c r="DG73" s="128"/>
      <c r="DH73" s="87"/>
      <c r="DI73" s="17"/>
      <c r="DJ73" s="128"/>
      <c r="DK73" s="87"/>
      <c r="DL73" s="17"/>
      <c r="DM73" s="87"/>
      <c r="DN73" s="87"/>
      <c r="DO73" s="87"/>
      <c r="DP73" s="87"/>
      <c r="DQ73" s="17"/>
      <c r="DR73" s="17"/>
      <c r="DU73" s="5"/>
      <c r="DV73" s="7"/>
      <c r="DX73" s="7"/>
      <c r="DY73" s="7"/>
      <c r="DZ73" s="5"/>
    </row>
    <row r="74" spans="1:130">
      <c r="A74">
        <v>19</v>
      </c>
      <c r="B74">
        <v>0.184</v>
      </c>
      <c r="D74" s="7"/>
      <c r="F74" s="19"/>
      <c r="G74" s="39"/>
      <c r="H74" s="35"/>
      <c r="I74" s="4"/>
      <c r="J74" s="5">
        <v>0.71616000000000002</v>
      </c>
      <c r="K74" s="76">
        <f t="shared" si="66"/>
        <v>716.16</v>
      </c>
      <c r="L74" s="107">
        <v>40668</v>
      </c>
      <c r="M74" s="76">
        <v>716.202</v>
      </c>
      <c r="N74" s="104">
        <v>40668</v>
      </c>
      <c r="O74" s="4">
        <v>40668</v>
      </c>
      <c r="P74" s="23">
        <v>716.16</v>
      </c>
      <c r="Q74" s="24">
        <f t="shared" si="21"/>
        <v>1</v>
      </c>
      <c r="R74" s="114">
        <f t="shared" si="22"/>
        <v>31</v>
      </c>
      <c r="S74" s="39">
        <f t="shared" si="2"/>
        <v>0.71616000000000002</v>
      </c>
      <c r="T74" s="5">
        <f t="shared" si="3"/>
        <v>12.890879999999999</v>
      </c>
      <c r="U74" s="7">
        <f t="shared" si="4"/>
        <v>413.79310344827593</v>
      </c>
      <c r="V74">
        <f t="shared" si="45"/>
        <v>3.2</v>
      </c>
      <c r="W74" s="77">
        <f t="shared" si="70"/>
        <v>4</v>
      </c>
      <c r="X74" s="6">
        <f t="shared" si="23"/>
        <v>1.6551724137931036</v>
      </c>
      <c r="Y74" s="6">
        <f t="shared" si="24"/>
        <v>0.29634206896551729</v>
      </c>
      <c r="Z74" s="5">
        <f t="shared" si="46"/>
        <v>1.3588303448275862</v>
      </c>
      <c r="AA74" s="113">
        <f t="shared" si="5"/>
        <v>0.4246344827586207</v>
      </c>
      <c r="AB74" s="5">
        <f t="shared" si="25"/>
        <v>0.42463448275862076</v>
      </c>
      <c r="AC74" s="80">
        <f t="shared" si="26"/>
        <v>1.6551724137931036</v>
      </c>
      <c r="AD74" s="5">
        <f t="shared" si="27"/>
        <v>1.3916647328244274</v>
      </c>
      <c r="AE74" s="5">
        <f t="shared" si="28"/>
        <v>2.291712</v>
      </c>
      <c r="AF74" s="5">
        <f t="shared" si="29"/>
        <v>0.29634206896551729</v>
      </c>
      <c r="AG74" s="7">
        <f t="shared" si="6"/>
        <v>1391.6647328244273</v>
      </c>
      <c r="AH74" s="5">
        <f t="shared" si="30"/>
        <v>1.3588303448275862</v>
      </c>
      <c r="AI74" s="7">
        <f t="shared" si="31"/>
        <v>424.63448275862066</v>
      </c>
      <c r="AJ74" s="6">
        <f t="shared" si="32"/>
        <v>1.3588303448275862</v>
      </c>
      <c r="AK74" s="5">
        <f t="shared" si="47"/>
        <v>63.387394317489886</v>
      </c>
      <c r="AL74" s="5"/>
      <c r="AM74" s="7"/>
      <c r="AO74" s="18"/>
      <c r="AP74" s="4">
        <f t="shared" si="57"/>
        <v>40665</v>
      </c>
      <c r="AQ74" s="36">
        <f t="shared" si="71"/>
        <v>0.40347222222222223</v>
      </c>
      <c r="AR74">
        <f t="shared" si="71"/>
        <v>3350</v>
      </c>
      <c r="AT74" s="4">
        <v>40666</v>
      </c>
      <c r="AU74" s="36">
        <v>0.53472222222222221</v>
      </c>
      <c r="AV74">
        <v>2500</v>
      </c>
      <c r="AX74" s="45">
        <f t="shared" si="7"/>
        <v>751.38121546961327</v>
      </c>
      <c r="AY74" s="45">
        <f t="shared" si="8"/>
        <v>0</v>
      </c>
      <c r="AZ74" s="7">
        <f t="shared" si="9"/>
        <v>751.38121546961327</v>
      </c>
      <c r="BA74" s="18">
        <f t="shared" si="10"/>
        <v>1</v>
      </c>
      <c r="BB74" s="6">
        <f t="shared" si="11"/>
        <v>27.150000000000002</v>
      </c>
      <c r="BI74" s="91"/>
      <c r="BJ74" s="99">
        <v>6.8999999999999995</v>
      </c>
      <c r="BK74" s="94">
        <v>40665</v>
      </c>
      <c r="BL74" s="12">
        <v>40665</v>
      </c>
      <c r="BM74" s="72">
        <f t="shared" si="12"/>
        <v>150</v>
      </c>
      <c r="BN74" s="24">
        <f t="shared" si="34"/>
        <v>1</v>
      </c>
      <c r="BO74" s="21">
        <f t="shared" si="35"/>
        <v>28</v>
      </c>
      <c r="BP74" s="5">
        <f>+BJ74</f>
        <v>6.8999999999999995</v>
      </c>
      <c r="BQ74" s="7">
        <f t="shared" si="63"/>
        <v>751.38121546961327</v>
      </c>
      <c r="BR74" s="7"/>
      <c r="BS74" s="7">
        <f t="shared" si="64"/>
        <v>751.38121546961327</v>
      </c>
      <c r="BT74">
        <f t="shared" si="59"/>
        <v>3.2</v>
      </c>
      <c r="BU74">
        <f t="shared" si="67"/>
        <v>4</v>
      </c>
      <c r="BV74" s="6">
        <f t="shared" si="15"/>
        <v>3.0055248618784529</v>
      </c>
      <c r="BW74" s="6">
        <f t="shared" si="16"/>
        <v>0.112707182320442</v>
      </c>
      <c r="BX74" s="5">
        <f t="shared" si="17"/>
        <v>2.8928176795580107</v>
      </c>
      <c r="BY74" s="5">
        <f t="shared" si="18"/>
        <v>0.90400552486187835</v>
      </c>
      <c r="BZ74" s="5">
        <f t="shared" si="19"/>
        <v>0.90400552486187846</v>
      </c>
      <c r="CA74" s="5">
        <f t="shared" si="20"/>
        <v>3.0055248618784529</v>
      </c>
      <c r="CB74" s="7">
        <f t="shared" si="36"/>
        <v>66.490626221773269</v>
      </c>
      <c r="CC74" s="5">
        <f t="shared" si="37"/>
        <v>1.1436347098322817</v>
      </c>
      <c r="CD74" s="7">
        <f t="shared" si="68"/>
        <v>33</v>
      </c>
      <c r="CE74" s="5">
        <f t="shared" si="38"/>
        <v>3.0840151898734174</v>
      </c>
      <c r="CF74" s="5">
        <f t="shared" si="39"/>
        <v>79.530615762090321</v>
      </c>
      <c r="CG74">
        <f t="shared" si="69"/>
        <v>33</v>
      </c>
      <c r="CH74" s="5">
        <f t="shared" si="40"/>
        <v>2.0354345316455698</v>
      </c>
      <c r="CI74" s="5">
        <f t="shared" si="41"/>
        <v>67.872435042683833</v>
      </c>
      <c r="CJ74" s="5">
        <f t="shared" si="42"/>
        <v>1.5151630484425902</v>
      </c>
      <c r="CK74" s="5">
        <f t="shared" si="43"/>
        <v>1.1717660595509038</v>
      </c>
      <c r="CL74" s="5"/>
      <c r="CM74" s="5"/>
      <c r="CN74" s="5"/>
      <c r="CO74" s="51"/>
      <c r="CQ74" s="51">
        <f t="shared" si="50"/>
        <v>2.5847656451612897</v>
      </c>
      <c r="CR74" s="6">
        <v>160.25546999999997</v>
      </c>
      <c r="CS74" s="133" t="s">
        <v>173</v>
      </c>
      <c r="CT74" s="56">
        <v>40713</v>
      </c>
      <c r="CU74" s="15">
        <f t="shared" si="51"/>
        <v>2584.7656451612897</v>
      </c>
      <c r="CV74" s="16">
        <f t="shared" si="52"/>
        <v>1</v>
      </c>
      <c r="CW74" s="57">
        <f t="shared" si="53"/>
        <v>75</v>
      </c>
      <c r="CX74" s="7">
        <f t="shared" si="55"/>
        <v>2604.4340723453902</v>
      </c>
      <c r="CY74" s="5">
        <f t="shared" si="54"/>
        <v>6.7318517152858774</v>
      </c>
      <c r="DA74" s="5"/>
      <c r="DB74" s="126"/>
      <c r="DC74" s="127"/>
      <c r="DD74" s="129"/>
      <c r="DE74" s="17"/>
      <c r="DF74" s="128"/>
      <c r="DG74" s="128"/>
      <c r="DH74" s="87"/>
      <c r="DI74" s="17"/>
      <c r="DJ74" s="128"/>
      <c r="DK74" s="87"/>
      <c r="DL74" s="17"/>
      <c r="DM74" s="87"/>
      <c r="DN74" s="87"/>
      <c r="DO74" s="87"/>
      <c r="DP74" s="87"/>
      <c r="DQ74" s="17"/>
      <c r="DR74" s="17"/>
      <c r="DU74" s="5"/>
      <c r="DV74" s="7"/>
      <c r="DX74" s="7"/>
      <c r="DY74" s="7"/>
      <c r="DZ74" s="5"/>
    </row>
    <row r="75" spans="1:130">
      <c r="A75">
        <v>20</v>
      </c>
      <c r="B75">
        <v>0.02</v>
      </c>
      <c r="C75">
        <f>AVERAGE(B75:B76)</f>
        <v>2.1499999999999998E-2</v>
      </c>
      <c r="D75" s="7"/>
      <c r="F75" s="3"/>
      <c r="G75" s="39"/>
      <c r="H75" s="35"/>
      <c r="I75" s="4"/>
      <c r="J75" s="5">
        <v>1.0336800000000002</v>
      </c>
      <c r="K75" s="76">
        <f t="shared" si="66"/>
        <v>1033.68</v>
      </c>
      <c r="L75" s="107">
        <v>40669</v>
      </c>
      <c r="M75" s="76">
        <v>1033.68</v>
      </c>
      <c r="N75" s="104">
        <v>40669</v>
      </c>
      <c r="O75" s="4">
        <v>40669</v>
      </c>
      <c r="P75" s="23">
        <v>1033.68</v>
      </c>
      <c r="Q75" s="24">
        <f t="shared" si="21"/>
        <v>1</v>
      </c>
      <c r="R75" s="114">
        <f t="shared" si="22"/>
        <v>32</v>
      </c>
      <c r="S75" s="39">
        <f t="shared" si="2"/>
        <v>1.0336800000000002</v>
      </c>
      <c r="T75" s="5">
        <f t="shared" si="3"/>
        <v>18.606240000000003</v>
      </c>
      <c r="U75" s="7">
        <f t="shared" si="4"/>
        <v>825.80645161290317</v>
      </c>
      <c r="V75">
        <f t="shared" si="45"/>
        <v>3.2</v>
      </c>
      <c r="W75" s="77">
        <f t="shared" si="70"/>
        <v>4</v>
      </c>
      <c r="X75" s="6">
        <f t="shared" si="23"/>
        <v>3.3032258064516129</v>
      </c>
      <c r="Y75" s="6">
        <f t="shared" si="24"/>
        <v>0.85361961290322586</v>
      </c>
      <c r="Z75" s="5">
        <f t="shared" si="46"/>
        <v>2.4496061935483873</v>
      </c>
      <c r="AA75" s="113">
        <f t="shared" si="5"/>
        <v>0.76550193548387102</v>
      </c>
      <c r="AB75" s="5">
        <f t="shared" si="25"/>
        <v>0.7655019354838708</v>
      </c>
      <c r="AC75" s="80">
        <f t="shared" si="26"/>
        <v>3.3032258064516129</v>
      </c>
      <c r="AD75" s="5">
        <f t="shared" si="27"/>
        <v>1.389768205128205</v>
      </c>
      <c r="AE75" s="5">
        <f t="shared" si="28"/>
        <v>3.3077760000000005</v>
      </c>
      <c r="AF75" s="5">
        <f t="shared" si="29"/>
        <v>0.85361961290322586</v>
      </c>
      <c r="AG75" s="7">
        <f t="shared" si="6"/>
        <v>1389.768205128205</v>
      </c>
      <c r="AH75" s="5">
        <f t="shared" si="30"/>
        <v>2.4496061935483873</v>
      </c>
      <c r="AI75" s="7">
        <f t="shared" si="31"/>
        <v>765.50193548387097</v>
      </c>
      <c r="AJ75" s="6">
        <f t="shared" si="32"/>
        <v>2.4496061935483873</v>
      </c>
      <c r="AK75" s="5">
        <f t="shared" si="47"/>
        <v>65.837000511038269</v>
      </c>
      <c r="AL75" s="5"/>
      <c r="AM75" s="7"/>
      <c r="AO75" s="18"/>
      <c r="AP75" s="4">
        <f t="shared" si="57"/>
        <v>40666</v>
      </c>
      <c r="AQ75" s="36">
        <f t="shared" si="71"/>
        <v>0.53472222222222221</v>
      </c>
      <c r="AR75">
        <f t="shared" si="71"/>
        <v>2500</v>
      </c>
      <c r="AT75" s="4">
        <v>40667</v>
      </c>
      <c r="AU75" s="36">
        <v>0.40972222222222227</v>
      </c>
      <c r="AV75">
        <v>1950</v>
      </c>
      <c r="AX75" s="45">
        <f t="shared" si="7"/>
        <v>628.57142857142844</v>
      </c>
      <c r="AY75" s="45">
        <f t="shared" si="8"/>
        <v>0</v>
      </c>
      <c r="AZ75" s="7">
        <f t="shared" si="9"/>
        <v>628.57142857142844</v>
      </c>
      <c r="BA75" s="18">
        <f t="shared" si="10"/>
        <v>1</v>
      </c>
      <c r="BB75" s="6">
        <f t="shared" si="11"/>
        <v>21.000000000000004</v>
      </c>
      <c r="BI75" s="91"/>
      <c r="BJ75" s="99">
        <v>9.7059999999999995</v>
      </c>
      <c r="BK75" s="94">
        <v>40666</v>
      </c>
      <c r="BL75" s="12">
        <v>40666</v>
      </c>
      <c r="BM75" s="72">
        <f t="shared" si="12"/>
        <v>217.39130434782609</v>
      </c>
      <c r="BN75" s="24">
        <f t="shared" si="34"/>
        <v>1</v>
      </c>
      <c r="BO75" s="21">
        <f t="shared" si="35"/>
        <v>29</v>
      </c>
      <c r="BP75" s="5">
        <v>10</v>
      </c>
      <c r="BQ75" s="7">
        <f t="shared" si="63"/>
        <v>628.57142857142844</v>
      </c>
      <c r="BR75" s="7"/>
      <c r="BS75" s="7">
        <f t="shared" si="64"/>
        <v>628.57142857142844</v>
      </c>
      <c r="BT75">
        <f t="shared" si="59"/>
        <v>3.2</v>
      </c>
      <c r="BU75">
        <f t="shared" si="67"/>
        <v>4</v>
      </c>
      <c r="BV75" s="6">
        <f t="shared" si="15"/>
        <v>2.5142857142857138</v>
      </c>
      <c r="BW75" s="6">
        <f t="shared" si="16"/>
        <v>0.13664596273291924</v>
      </c>
      <c r="BX75" s="5">
        <f t="shared" si="17"/>
        <v>2.3776397515527945</v>
      </c>
      <c r="BY75" s="5">
        <f t="shared" si="18"/>
        <v>0.74301242236024823</v>
      </c>
      <c r="BZ75" s="5">
        <f t="shared" si="19"/>
        <v>0.74301242236024823</v>
      </c>
      <c r="CA75" s="5">
        <f t="shared" si="20"/>
        <v>2.5142857142857138</v>
      </c>
      <c r="CB75" s="7">
        <f t="shared" si="36"/>
        <v>69.004911936058988</v>
      </c>
      <c r="CC75" s="5">
        <f t="shared" si="37"/>
        <v>1.1460573775849314</v>
      </c>
      <c r="CD75" s="7">
        <f t="shared" si="68"/>
        <v>34</v>
      </c>
      <c r="CE75" s="5">
        <f t="shared" si="38"/>
        <v>1.9525423728813562</v>
      </c>
      <c r="CF75" s="5">
        <f t="shared" si="39"/>
        <v>81.483158134971674</v>
      </c>
      <c r="CG75">
        <f t="shared" si="69"/>
        <v>34</v>
      </c>
      <c r="CH75" s="5">
        <f t="shared" si="40"/>
        <v>1.8124621016949156</v>
      </c>
      <c r="CI75" s="5">
        <f t="shared" si="41"/>
        <v>69.684897144378752</v>
      </c>
      <c r="CJ75" s="5">
        <f t="shared" si="42"/>
        <v>1.0772872828929472</v>
      </c>
      <c r="CK75" s="5">
        <f t="shared" si="43"/>
        <v>1.1693087236126407</v>
      </c>
      <c r="CL75" s="5"/>
      <c r="CM75" s="5"/>
      <c r="CN75" s="5"/>
      <c r="CO75" s="51"/>
      <c r="CQ75" s="51">
        <f t="shared" si="50"/>
        <v>1.4904418548387095</v>
      </c>
      <c r="CR75" s="6">
        <v>92.407394999999994</v>
      </c>
      <c r="CS75" s="134" t="s">
        <v>174</v>
      </c>
      <c r="CT75" s="56">
        <v>40714</v>
      </c>
      <c r="CU75" s="15">
        <f t="shared" si="51"/>
        <v>1490.4418548387096</v>
      </c>
      <c r="CV75" s="16">
        <f t="shared" si="52"/>
        <v>1</v>
      </c>
      <c r="CW75" s="57">
        <f t="shared" si="53"/>
        <v>76</v>
      </c>
      <c r="CX75" s="7">
        <f t="shared" si="55"/>
        <v>3019.8675496688747</v>
      </c>
      <c r="CY75" s="5">
        <f t="shared" si="54"/>
        <v>4.5009369920957063</v>
      </c>
      <c r="DA75" s="5"/>
      <c r="DB75" s="126"/>
      <c r="DC75" s="127"/>
      <c r="DD75" s="129"/>
      <c r="DE75" s="17"/>
      <c r="DF75" s="128"/>
      <c r="DG75" s="128"/>
      <c r="DH75" s="87"/>
      <c r="DI75" s="17"/>
      <c r="DJ75" s="128"/>
      <c r="DK75" s="87"/>
      <c r="DL75" s="17"/>
      <c r="DM75" s="87"/>
      <c r="DN75" s="87"/>
      <c r="DO75" s="87"/>
      <c r="DP75" s="87"/>
      <c r="DQ75" s="17"/>
      <c r="DR75" s="17"/>
      <c r="DU75" s="5"/>
      <c r="DV75" s="7"/>
      <c r="DX75" s="7"/>
      <c r="DY75" s="7"/>
      <c r="DZ75" s="5"/>
    </row>
    <row r="76" spans="1:130">
      <c r="A76">
        <v>20</v>
      </c>
      <c r="B76">
        <v>2.3E-2</v>
      </c>
      <c r="D76" s="7"/>
      <c r="F76" s="19"/>
      <c r="G76" s="39"/>
      <c r="H76" s="35"/>
      <c r="I76" s="4"/>
      <c r="J76" s="5">
        <v>1.37256</v>
      </c>
      <c r="K76" s="76">
        <f t="shared" si="66"/>
        <v>1372.56</v>
      </c>
      <c r="L76" s="107">
        <v>40670</v>
      </c>
      <c r="M76" s="76">
        <v>1372.5539999999999</v>
      </c>
      <c r="N76" s="104">
        <v>40670</v>
      </c>
      <c r="O76" s="4">
        <v>40670</v>
      </c>
      <c r="P76" s="23">
        <v>1372.56</v>
      </c>
      <c r="Q76" s="24">
        <f t="shared" si="21"/>
        <v>1</v>
      </c>
      <c r="R76" s="114">
        <f t="shared" si="22"/>
        <v>33</v>
      </c>
      <c r="S76" s="39">
        <f t="shared" si="2"/>
        <v>1.37256</v>
      </c>
      <c r="T76" s="5">
        <f t="shared" si="3"/>
        <v>24.706079999999996</v>
      </c>
      <c r="U76" s="7">
        <f t="shared" si="4"/>
        <v>774.68354430379736</v>
      </c>
      <c r="V76">
        <f t="shared" si="45"/>
        <v>3.2</v>
      </c>
      <c r="W76" s="77">
        <f t="shared" si="70"/>
        <v>4</v>
      </c>
      <c r="X76" s="6">
        <f t="shared" si="23"/>
        <v>3.0987341772151895</v>
      </c>
      <c r="Y76" s="6">
        <f t="shared" si="24"/>
        <v>1.06329964556962</v>
      </c>
      <c r="Z76" s="5">
        <f t="shared" si="46"/>
        <v>2.0354345316455698</v>
      </c>
      <c r="AA76" s="113">
        <f t="shared" si="5"/>
        <v>0.63607329113924049</v>
      </c>
      <c r="AB76" s="5">
        <f t="shared" si="25"/>
        <v>0.63607329113924038</v>
      </c>
      <c r="AC76" s="80">
        <f t="shared" si="26"/>
        <v>3.0987341772151895</v>
      </c>
      <c r="AD76" s="5">
        <f t="shared" si="27"/>
        <v>1.6118289936305734</v>
      </c>
      <c r="AE76" s="5">
        <f t="shared" si="28"/>
        <v>4.3921919999999997</v>
      </c>
      <c r="AF76" s="5">
        <f t="shared" si="29"/>
        <v>1.06329964556962</v>
      </c>
      <c r="AG76" s="7">
        <f t="shared" si="6"/>
        <v>1611.8289936305734</v>
      </c>
      <c r="AH76" s="5">
        <f t="shared" si="30"/>
        <v>2.0354345316455698</v>
      </c>
      <c r="AI76" s="7">
        <f t="shared" si="31"/>
        <v>636.0732911392405</v>
      </c>
      <c r="AJ76" s="6">
        <f t="shared" si="32"/>
        <v>2.0354345316455698</v>
      </c>
      <c r="AK76" s="7">
        <f t="shared" si="47"/>
        <v>67.872435042683833</v>
      </c>
      <c r="AL76" s="7"/>
      <c r="AM76" s="7"/>
      <c r="AO76" s="18"/>
      <c r="AP76" s="4">
        <f t="shared" si="57"/>
        <v>40667</v>
      </c>
      <c r="AQ76" s="36">
        <f t="shared" si="71"/>
        <v>0.40972222222222227</v>
      </c>
      <c r="AR76">
        <f t="shared" si="71"/>
        <v>1950</v>
      </c>
      <c r="AT76" s="4">
        <v>40668</v>
      </c>
      <c r="AU76" s="36">
        <v>0.625</v>
      </c>
      <c r="AV76">
        <v>1200</v>
      </c>
      <c r="AX76" s="45">
        <f t="shared" si="7"/>
        <v>617.14285714285711</v>
      </c>
      <c r="AY76" s="45">
        <f t="shared" si="8"/>
        <v>0</v>
      </c>
      <c r="AZ76" s="7">
        <f t="shared" si="9"/>
        <v>617.14285714285711</v>
      </c>
      <c r="BA76" s="18">
        <f t="shared" si="10"/>
        <v>1</v>
      </c>
      <c r="BB76" s="6">
        <f t="shared" si="11"/>
        <v>29.166666666666668</v>
      </c>
      <c r="BI76" s="91"/>
      <c r="BJ76" s="99">
        <v>4.7839999999999998</v>
      </c>
      <c r="BK76" s="94">
        <v>40667</v>
      </c>
      <c r="BL76" s="12">
        <v>40667</v>
      </c>
      <c r="BM76" s="72">
        <f t="shared" si="12"/>
        <v>104</v>
      </c>
      <c r="BN76" s="24">
        <f t="shared" si="34"/>
        <v>1</v>
      </c>
      <c r="BO76" s="21">
        <f t="shared" si="35"/>
        <v>30</v>
      </c>
      <c r="BP76" s="5">
        <f>+BJ76</f>
        <v>4.7839999999999998</v>
      </c>
      <c r="BQ76" s="7">
        <f t="shared" si="63"/>
        <v>617.14285714285711</v>
      </c>
      <c r="BR76" s="7"/>
      <c r="BS76" s="7">
        <f t="shared" si="64"/>
        <v>617.14285714285711</v>
      </c>
      <c r="BT76">
        <f t="shared" si="59"/>
        <v>3.2</v>
      </c>
      <c r="BU76">
        <f t="shared" si="67"/>
        <v>4</v>
      </c>
      <c r="BV76" s="6">
        <f t="shared" si="15"/>
        <v>2.4685714285714284</v>
      </c>
      <c r="BW76" s="6">
        <f t="shared" si="16"/>
        <v>6.4182857142857139E-2</v>
      </c>
      <c r="BX76" s="5">
        <f t="shared" si="17"/>
        <v>2.4043885714285711</v>
      </c>
      <c r="BY76" s="5">
        <f t="shared" si="18"/>
        <v>0.75137142857142847</v>
      </c>
      <c r="BZ76" s="5">
        <f t="shared" si="19"/>
        <v>0.75137142857142847</v>
      </c>
      <c r="CA76" s="5">
        <f t="shared" si="20"/>
        <v>2.4685714285714284</v>
      </c>
      <c r="CB76" s="7">
        <f t="shared" si="36"/>
        <v>71.473483364630411</v>
      </c>
      <c r="CC76" s="5">
        <f t="shared" si="37"/>
        <v>1.1522672586154139</v>
      </c>
      <c r="CD76" s="7">
        <f t="shared" si="68"/>
        <v>35</v>
      </c>
      <c r="CE76" s="5">
        <f t="shared" si="38"/>
        <v>5.909474954737477</v>
      </c>
      <c r="CF76" s="5">
        <f t="shared" si="39"/>
        <v>87.39263308970915</v>
      </c>
      <c r="CG76">
        <f t="shared" si="69"/>
        <v>35</v>
      </c>
      <c r="CH76" s="5">
        <f t="shared" si="40"/>
        <v>4.186050452625226</v>
      </c>
      <c r="CI76" s="5">
        <f t="shared" si="41"/>
        <v>73.870947597003976</v>
      </c>
      <c r="CJ76" s="5">
        <f t="shared" si="42"/>
        <v>1.4117065767880146</v>
      </c>
      <c r="CK76" s="5">
        <f t="shared" si="43"/>
        <v>1.1830447006916909</v>
      </c>
      <c r="CL76" s="5"/>
      <c r="CM76" s="5"/>
      <c r="CN76" s="5"/>
      <c r="CO76" s="51"/>
      <c r="CQ76" s="51">
        <f t="shared" si="50"/>
        <v>1.6339359677419352</v>
      </c>
      <c r="CR76" s="6">
        <v>101.30402999999998</v>
      </c>
      <c r="CS76" s="134" t="s">
        <v>175</v>
      </c>
      <c r="CT76" s="56">
        <v>40715</v>
      </c>
      <c r="CU76" s="15">
        <f t="shared" si="51"/>
        <v>1633.9359677419352</v>
      </c>
      <c r="CV76" s="16">
        <f t="shared" si="52"/>
        <v>1</v>
      </c>
      <c r="CW76" s="57">
        <f t="shared" si="53"/>
        <v>77</v>
      </c>
      <c r="CX76" s="7">
        <f t="shared" si="55"/>
        <v>3486.4864864864862</v>
      </c>
      <c r="CY76" s="5">
        <f t="shared" si="54"/>
        <v>5.6966956713164763</v>
      </c>
      <c r="DA76" s="5"/>
      <c r="DB76" s="126"/>
      <c r="DC76" s="127"/>
      <c r="DD76" s="129"/>
      <c r="DE76" s="17"/>
      <c r="DF76" s="128"/>
      <c r="DG76" s="128"/>
      <c r="DH76" s="87"/>
      <c r="DI76" s="17"/>
      <c r="DJ76" s="128"/>
      <c r="DK76" s="87"/>
      <c r="DL76" s="17"/>
      <c r="DM76" s="87"/>
      <c r="DN76" s="87"/>
      <c r="DO76" s="87"/>
      <c r="DP76" s="87"/>
      <c r="DQ76" s="17"/>
      <c r="DR76" s="17"/>
      <c r="DU76" s="5"/>
      <c r="DV76" s="7"/>
      <c r="DX76" s="7"/>
      <c r="DY76" s="7"/>
      <c r="DZ76" s="5"/>
    </row>
    <row r="77" spans="1:130">
      <c r="A77">
        <v>21</v>
      </c>
      <c r="B77">
        <v>3.5999999999999997E-2</v>
      </c>
      <c r="C77">
        <f>AVERAGE(B77:B78)</f>
        <v>3.5000000000000003E-2</v>
      </c>
      <c r="D77" s="7"/>
      <c r="F77" s="3"/>
      <c r="G77" s="39"/>
      <c r="H77" s="35"/>
      <c r="I77" s="4"/>
      <c r="J77" s="5"/>
      <c r="K77" s="76">
        <f t="shared" si="66"/>
        <v>0</v>
      </c>
      <c r="L77" s="107">
        <v>40671</v>
      </c>
      <c r="M77" s="76">
        <v>286.96999999999997</v>
      </c>
      <c r="N77" s="104">
        <v>40671</v>
      </c>
      <c r="O77" s="4">
        <v>40671</v>
      </c>
      <c r="P77" s="83">
        <v>286.96999999999997</v>
      </c>
      <c r="Q77" s="24">
        <f t="shared" si="21"/>
        <v>1</v>
      </c>
      <c r="R77" s="114">
        <f t="shared" si="22"/>
        <v>34</v>
      </c>
      <c r="S77" s="39">
        <f t="shared" si="2"/>
        <v>0.28696999999999995</v>
      </c>
      <c r="T77" s="5">
        <f t="shared" si="3"/>
        <v>5.1654599999999995</v>
      </c>
      <c r="U77" s="7">
        <f t="shared" si="4"/>
        <v>488.13559322033905</v>
      </c>
      <c r="V77">
        <f t="shared" si="45"/>
        <v>3.2</v>
      </c>
      <c r="W77" s="77">
        <f t="shared" si="70"/>
        <v>4</v>
      </c>
      <c r="X77" s="6">
        <f t="shared" si="23"/>
        <v>1.9525423728813562</v>
      </c>
      <c r="Y77" s="6">
        <f t="shared" si="24"/>
        <v>0.14008027118644067</v>
      </c>
      <c r="Z77" s="5">
        <f t="shared" si="46"/>
        <v>1.8124621016949156</v>
      </c>
      <c r="AA77" s="113">
        <f t="shared" si="5"/>
        <v>0.56639440677966113</v>
      </c>
      <c r="AB77" s="5">
        <f t="shared" si="25"/>
        <v>0.56639440677966102</v>
      </c>
      <c r="AC77" s="80">
        <f t="shared" si="26"/>
        <v>1.9525423728813562</v>
      </c>
      <c r="AD77" s="5">
        <f t="shared" si="27"/>
        <v>1.7203094117647058</v>
      </c>
      <c r="AE77" s="5">
        <f t="shared" si="28"/>
        <v>0.91830400000000001</v>
      </c>
      <c r="AF77" s="5">
        <f t="shared" si="29"/>
        <v>0.14008027118644067</v>
      </c>
      <c r="AG77" s="7">
        <f t="shared" si="6"/>
        <v>1720.3094117647058</v>
      </c>
      <c r="AH77" s="5">
        <f t="shared" si="30"/>
        <v>1.8124621016949156</v>
      </c>
      <c r="AI77" s="7">
        <f t="shared" si="31"/>
        <v>566.39440677966115</v>
      </c>
      <c r="AJ77" s="6">
        <f t="shared" si="32"/>
        <v>1.8124621016949156</v>
      </c>
      <c r="AK77" s="7">
        <f t="shared" si="47"/>
        <v>69.684897144378752</v>
      </c>
      <c r="AL77" s="7"/>
      <c r="AM77" s="7"/>
      <c r="AO77" s="18"/>
      <c r="AP77" s="4">
        <f t="shared" si="57"/>
        <v>40668</v>
      </c>
      <c r="AQ77" s="36">
        <v>0.82291666666666663</v>
      </c>
      <c r="AR77">
        <v>3100</v>
      </c>
      <c r="AT77" s="4">
        <v>40669</v>
      </c>
      <c r="AU77" s="36">
        <v>0.42708333333333331</v>
      </c>
      <c r="AV77">
        <v>2850</v>
      </c>
      <c r="AX77" s="45">
        <f t="shared" si="7"/>
        <v>413.79310344827593</v>
      </c>
      <c r="AY77" s="45">
        <f t="shared" si="8"/>
        <v>0</v>
      </c>
      <c r="AZ77" s="7">
        <f t="shared" si="9"/>
        <v>413.79310344827593</v>
      </c>
      <c r="BA77" s="18">
        <f t="shared" si="10"/>
        <v>1</v>
      </c>
      <c r="BB77" s="6">
        <f t="shared" si="11"/>
        <v>14.5</v>
      </c>
      <c r="BI77" s="91"/>
      <c r="BJ77" s="99">
        <v>1.5640000000000001</v>
      </c>
      <c r="BK77" s="94">
        <v>40668</v>
      </c>
      <c r="BL77" s="12">
        <v>40668</v>
      </c>
      <c r="BM77" s="72">
        <f t="shared" si="12"/>
        <v>34</v>
      </c>
      <c r="BN77" s="24">
        <f t="shared" si="34"/>
        <v>1</v>
      </c>
      <c r="BO77" s="21">
        <f t="shared" si="35"/>
        <v>31</v>
      </c>
      <c r="BP77" s="5">
        <f>+BJ77</f>
        <v>1.5640000000000001</v>
      </c>
      <c r="BQ77" s="7">
        <f t="shared" si="63"/>
        <v>413.79310344827593</v>
      </c>
      <c r="BR77" s="7"/>
      <c r="BS77" s="7">
        <f t="shared" si="64"/>
        <v>413.79310344827593</v>
      </c>
      <c r="BT77">
        <f t="shared" si="59"/>
        <v>3.2</v>
      </c>
      <c r="BU77">
        <f t="shared" si="67"/>
        <v>4</v>
      </c>
      <c r="BV77" s="6">
        <f t="shared" si="15"/>
        <v>1.6551724137931036</v>
      </c>
      <c r="BW77" s="6">
        <f t="shared" si="16"/>
        <v>1.4068965517241383E-2</v>
      </c>
      <c r="BX77" s="5">
        <f t="shared" si="17"/>
        <v>1.6411034482758622</v>
      </c>
      <c r="BY77" s="5">
        <f t="shared" si="18"/>
        <v>0.51284482758620686</v>
      </c>
      <c r="BZ77" s="5">
        <f t="shared" si="19"/>
        <v>0.51284482758620697</v>
      </c>
      <c r="CA77" s="5">
        <f t="shared" si="20"/>
        <v>1.6551724137931036</v>
      </c>
      <c r="CB77" s="7">
        <f t="shared" si="36"/>
        <v>73.128655778423521</v>
      </c>
      <c r="CC77" s="5">
        <f t="shared" si="37"/>
        <v>1.1536782126134157</v>
      </c>
      <c r="CD77" s="7">
        <f t="shared" si="68"/>
        <v>36</v>
      </c>
      <c r="CE77" s="5">
        <f t="shared" si="38"/>
        <v>3.1760758293838873</v>
      </c>
      <c r="CF77" s="5">
        <f t="shared" si="39"/>
        <v>90.577467212931907</v>
      </c>
      <c r="CG77">
        <f t="shared" si="69"/>
        <v>36</v>
      </c>
      <c r="CH77" s="5">
        <f t="shared" si="40"/>
        <v>1.9022854976303323</v>
      </c>
      <c r="CI77" s="5">
        <f t="shared" si="41"/>
        <v>75.773233094634307</v>
      </c>
      <c r="CJ77" s="5">
        <f t="shared" si="42"/>
        <v>1.6696104939770131</v>
      </c>
      <c r="CK77" s="5">
        <f t="shared" si="43"/>
        <v>1.1953755107665576</v>
      </c>
      <c r="CL77" s="5"/>
      <c r="CM77" s="5"/>
      <c r="CN77" s="5"/>
      <c r="CO77" s="51"/>
      <c r="CQ77" s="51">
        <f t="shared" si="50"/>
        <v>2.9224841129032253</v>
      </c>
      <c r="CR77" s="6">
        <v>181.19401499999998</v>
      </c>
      <c r="CS77" s="133" t="s">
        <v>176</v>
      </c>
      <c r="CT77" s="4">
        <v>40717</v>
      </c>
      <c r="CU77" s="7">
        <f t="shared" si="51"/>
        <v>2922.4841129032252</v>
      </c>
      <c r="CV77">
        <f t="shared" si="52"/>
        <v>2</v>
      </c>
      <c r="CW77" s="9">
        <f t="shared" si="53"/>
        <v>79</v>
      </c>
      <c r="CX77" s="7">
        <f t="shared" si="55"/>
        <v>3896.2795941375416</v>
      </c>
      <c r="CY77" s="5">
        <f t="shared" si="54"/>
        <v>11.386815213295993</v>
      </c>
      <c r="DA77" s="5"/>
      <c r="DB77" s="126"/>
      <c r="DC77" s="127"/>
      <c r="DD77" s="129"/>
      <c r="DE77" s="17"/>
      <c r="DF77" s="128"/>
      <c r="DG77" s="128"/>
      <c r="DH77" s="87"/>
      <c r="DI77" s="17"/>
      <c r="DJ77" s="128"/>
      <c r="DK77" s="87"/>
      <c r="DL77" s="17"/>
      <c r="DM77" s="87"/>
      <c r="DN77" s="87"/>
      <c r="DO77" s="87"/>
      <c r="DP77" s="87"/>
      <c r="DQ77" s="17"/>
      <c r="DR77" s="17"/>
      <c r="DU77" s="5"/>
      <c r="DV77" s="7"/>
      <c r="DX77" s="7"/>
      <c r="DY77" s="7"/>
      <c r="DZ77" s="5"/>
    </row>
    <row r="78" spans="1:130">
      <c r="A78">
        <v>21</v>
      </c>
      <c r="B78">
        <v>3.4000000000000002E-2</v>
      </c>
      <c r="D78" s="7"/>
      <c r="F78" s="19"/>
      <c r="G78" s="39"/>
      <c r="H78" s="35"/>
      <c r="I78" s="4"/>
      <c r="J78" s="5"/>
      <c r="K78" s="76">
        <f t="shared" si="66"/>
        <v>0</v>
      </c>
      <c r="L78" s="107">
        <v>40672</v>
      </c>
      <c r="M78" s="76">
        <v>1166.55</v>
      </c>
      <c r="N78" s="104">
        <v>40672</v>
      </c>
      <c r="O78" s="4">
        <v>40672</v>
      </c>
      <c r="P78" s="23">
        <v>1166.55</v>
      </c>
      <c r="Q78" s="24">
        <f t="shared" si="21"/>
        <v>1</v>
      </c>
      <c r="R78" s="114">
        <f t="shared" si="22"/>
        <v>35</v>
      </c>
      <c r="S78" s="39">
        <f t="shared" si="2"/>
        <v>1.16655</v>
      </c>
      <c r="T78" s="5">
        <f t="shared" si="3"/>
        <v>20.997899999999998</v>
      </c>
      <c r="U78" s="40">
        <f t="shared" si="4"/>
        <v>1477.3687386843692</v>
      </c>
      <c r="V78">
        <f t="shared" si="45"/>
        <v>3.2</v>
      </c>
      <c r="W78" s="77">
        <f t="shared" si="70"/>
        <v>4</v>
      </c>
      <c r="X78" s="6">
        <f t="shared" si="23"/>
        <v>5.909474954737477</v>
      </c>
      <c r="Y78" s="6">
        <f t="shared" si="24"/>
        <v>1.7234245021122507</v>
      </c>
      <c r="Z78" s="5">
        <f t="shared" si="46"/>
        <v>4.186050452625226</v>
      </c>
      <c r="AA78" s="113">
        <f t="shared" si="5"/>
        <v>1.308140766445383</v>
      </c>
      <c r="AB78" s="5">
        <f t="shared" si="25"/>
        <v>1.308140766445383</v>
      </c>
      <c r="AC78" s="80">
        <f t="shared" si="26"/>
        <v>5.909474954737477</v>
      </c>
      <c r="AD78" s="5">
        <f t="shared" si="27"/>
        <v>1.4597478488852187</v>
      </c>
      <c r="AE78" s="5">
        <f t="shared" si="28"/>
        <v>3.7329599999999998</v>
      </c>
      <c r="AF78" s="5">
        <f t="shared" si="29"/>
        <v>1.7234245021122507</v>
      </c>
      <c r="AG78" s="7">
        <f t="shared" si="6"/>
        <v>1459.7478488852187</v>
      </c>
      <c r="AH78" s="5">
        <f t="shared" si="30"/>
        <v>4.186050452625226</v>
      </c>
      <c r="AI78" s="7">
        <f t="shared" si="31"/>
        <v>1308.1407664453832</v>
      </c>
      <c r="AJ78" s="6">
        <f t="shared" si="32"/>
        <v>4.186050452625226</v>
      </c>
      <c r="AK78" s="7">
        <f t="shared" si="47"/>
        <v>73.870947597003976</v>
      </c>
      <c r="AL78" s="7"/>
      <c r="AM78" s="7"/>
      <c r="AO78" s="18"/>
      <c r="AP78" s="4">
        <f t="shared" si="57"/>
        <v>40669</v>
      </c>
      <c r="AQ78" s="36">
        <f t="shared" ref="AQ78:AR80" si="72">+AU77</f>
        <v>0.42708333333333331</v>
      </c>
      <c r="AR78">
        <f t="shared" si="72"/>
        <v>2850</v>
      </c>
      <c r="AT78" s="4">
        <v>40670</v>
      </c>
      <c r="AU78" s="36">
        <v>0.39583333333333331</v>
      </c>
      <c r="AV78">
        <v>2050</v>
      </c>
      <c r="AX78" s="45">
        <f t="shared" si="7"/>
        <v>825.80645161290317</v>
      </c>
      <c r="AY78" s="45">
        <f t="shared" si="8"/>
        <v>0</v>
      </c>
      <c r="AZ78" s="7">
        <f t="shared" si="9"/>
        <v>825.80645161290317</v>
      </c>
      <c r="BA78" s="18">
        <f t="shared" si="10"/>
        <v>1</v>
      </c>
      <c r="BB78" s="6">
        <f t="shared" si="11"/>
        <v>23.25</v>
      </c>
      <c r="BI78" s="91"/>
      <c r="BJ78" s="99">
        <v>0.184</v>
      </c>
      <c r="BK78" s="94">
        <v>40669</v>
      </c>
      <c r="BL78" s="12">
        <v>40669</v>
      </c>
      <c r="BM78" s="72">
        <f t="shared" si="12"/>
        <v>43.478260869565219</v>
      </c>
      <c r="BN78" s="24">
        <f t="shared" si="34"/>
        <v>1</v>
      </c>
      <c r="BO78" s="21">
        <f t="shared" si="35"/>
        <v>32</v>
      </c>
      <c r="BP78" s="5">
        <v>2</v>
      </c>
      <c r="BQ78" s="7">
        <f t="shared" si="63"/>
        <v>825.80645161290317</v>
      </c>
      <c r="BR78" s="7"/>
      <c r="BS78" s="7">
        <f t="shared" si="64"/>
        <v>825.80645161290317</v>
      </c>
      <c r="BT78">
        <f t="shared" si="59"/>
        <v>3.2</v>
      </c>
      <c r="BU78">
        <f t="shared" si="67"/>
        <v>4</v>
      </c>
      <c r="BV78" s="6">
        <f t="shared" si="15"/>
        <v>3.3032258064516129</v>
      </c>
      <c r="BW78" s="6">
        <f t="shared" si="16"/>
        <v>3.5904628330995794E-2</v>
      </c>
      <c r="BX78" s="5">
        <f t="shared" si="17"/>
        <v>3.2673211781206173</v>
      </c>
      <c r="BY78" s="5">
        <f t="shared" si="18"/>
        <v>1.0210378681626928</v>
      </c>
      <c r="BZ78" s="5">
        <f t="shared" si="19"/>
        <v>1.0210378681626926</v>
      </c>
      <c r="CA78" s="5">
        <f t="shared" si="20"/>
        <v>3.3032258064516129</v>
      </c>
      <c r="CB78" s="7">
        <f t="shared" si="36"/>
        <v>76.431881584875129</v>
      </c>
      <c r="CC78" s="5">
        <f t="shared" si="37"/>
        <v>1.1609259381745454</v>
      </c>
      <c r="CD78" s="7">
        <f t="shared" si="68"/>
        <v>37</v>
      </c>
      <c r="CE78" s="5">
        <f t="shared" si="38"/>
        <v>3.5323851014108079</v>
      </c>
      <c r="CF78" s="5">
        <f t="shared" si="39"/>
        <v>94.208522289242453</v>
      </c>
      <c r="CG78">
        <v>37</v>
      </c>
      <c r="CH78" s="5">
        <f t="shared" si="40"/>
        <v>1.9022854976303323</v>
      </c>
      <c r="CI78" s="5">
        <f t="shared" si="41"/>
        <v>75.773233094634307</v>
      </c>
      <c r="CJ78" s="5">
        <f t="shared" si="42"/>
        <v>1.8569163807488849</v>
      </c>
      <c r="CK78" s="5">
        <f t="shared" si="43"/>
        <v>1.2432955338144809</v>
      </c>
      <c r="CL78" s="5"/>
      <c r="CM78" s="5"/>
      <c r="CN78" s="5"/>
      <c r="CO78" s="51"/>
      <c r="CQ78" s="51">
        <f t="shared" si="50"/>
        <v>1.065757258064516</v>
      </c>
      <c r="CR78" s="6">
        <v>66.076949999999997</v>
      </c>
      <c r="CS78" s="134" t="s">
        <v>177</v>
      </c>
      <c r="CT78" s="4">
        <v>40718</v>
      </c>
      <c r="CU78" s="7">
        <f t="shared" si="51"/>
        <v>1065.757258064516</v>
      </c>
      <c r="CV78">
        <f t="shared" si="52"/>
        <v>1</v>
      </c>
      <c r="CW78" s="9">
        <f t="shared" si="53"/>
        <v>80</v>
      </c>
      <c r="CX78" s="7">
        <f t="shared" si="55"/>
        <v>3851.1627906976737</v>
      </c>
      <c r="CY78" s="5">
        <f t="shared" si="54"/>
        <v>4.1044046961740426</v>
      </c>
      <c r="DA78" s="5"/>
      <c r="DB78" s="126"/>
      <c r="DC78" s="127"/>
      <c r="DD78" s="129"/>
      <c r="DE78" s="17"/>
      <c r="DF78" s="128"/>
      <c r="DG78" s="128"/>
      <c r="DH78" s="87"/>
      <c r="DI78" s="17"/>
      <c r="DJ78" s="128"/>
      <c r="DK78" s="87"/>
      <c r="DL78" s="17"/>
      <c r="DM78" s="87"/>
      <c r="DN78" s="87"/>
      <c r="DO78" s="87"/>
      <c r="DP78" s="87"/>
      <c r="DQ78" s="17"/>
      <c r="DR78" s="17"/>
      <c r="DU78" s="5"/>
      <c r="DV78" s="7"/>
      <c r="DX78" s="7"/>
      <c r="DY78" s="7"/>
      <c r="DZ78" s="5"/>
    </row>
    <row r="79" spans="1:130">
      <c r="A79">
        <v>22</v>
      </c>
      <c r="B79">
        <v>0.05</v>
      </c>
      <c r="C79">
        <f>AVERAGE(B79:B80)</f>
        <v>5.0500000000000003E-2</v>
      </c>
      <c r="D79" s="7"/>
      <c r="F79" s="3"/>
      <c r="G79" s="39"/>
      <c r="H79" s="35"/>
      <c r="I79" s="4"/>
      <c r="J79" s="5"/>
      <c r="K79" s="76">
        <f t="shared" si="66"/>
        <v>0</v>
      </c>
      <c r="L79" s="107">
        <v>40673</v>
      </c>
      <c r="M79" s="76">
        <v>1610.82</v>
      </c>
      <c r="N79" s="104">
        <v>40673</v>
      </c>
      <c r="O79" s="4">
        <v>40673</v>
      </c>
      <c r="P79" s="23">
        <v>1610.82</v>
      </c>
      <c r="Q79" s="24">
        <f t="shared" si="21"/>
        <v>1</v>
      </c>
      <c r="R79" s="114">
        <f t="shared" si="22"/>
        <v>36</v>
      </c>
      <c r="S79" s="39">
        <f t="shared" si="2"/>
        <v>1.6108199999999999</v>
      </c>
      <c r="T79" s="5">
        <f t="shared" si="3"/>
        <v>28.994759999999999</v>
      </c>
      <c r="U79" s="7">
        <f t="shared" si="4"/>
        <v>796.20853080568747</v>
      </c>
      <c r="V79">
        <f t="shared" si="45"/>
        <v>3.2</v>
      </c>
      <c r="W79" s="77">
        <f t="shared" si="70"/>
        <v>4</v>
      </c>
      <c r="X79" s="6">
        <f t="shared" si="23"/>
        <v>3.1848341232227497</v>
      </c>
      <c r="Y79" s="6">
        <f t="shared" si="24"/>
        <v>1.2825486255924174</v>
      </c>
      <c r="Z79" s="5">
        <f t="shared" si="46"/>
        <v>1.9022854976303323</v>
      </c>
      <c r="AA79" s="113">
        <f t="shared" si="5"/>
        <v>0.5944642180094788</v>
      </c>
      <c r="AB79" s="5">
        <f t="shared" si="25"/>
        <v>0.59446421800947891</v>
      </c>
      <c r="AC79" s="80">
        <f t="shared" si="26"/>
        <v>3.1848341232227497</v>
      </c>
      <c r="AD79" s="5">
        <f t="shared" si="27"/>
        <v>1.7310893738140418</v>
      </c>
      <c r="AE79" s="5">
        <f t="shared" si="28"/>
        <v>5.1546240000000001</v>
      </c>
      <c r="AF79" s="5">
        <f t="shared" si="29"/>
        <v>1.2825486255924174</v>
      </c>
      <c r="AG79" s="7">
        <f t="shared" si="6"/>
        <v>1731.0893738140419</v>
      </c>
      <c r="AH79" s="5">
        <f t="shared" si="30"/>
        <v>1.9022854976303323</v>
      </c>
      <c r="AI79" s="7">
        <f t="shared" si="31"/>
        <v>594.46421800947883</v>
      </c>
      <c r="AJ79" s="6">
        <f t="shared" si="32"/>
        <v>1.9022854976303323</v>
      </c>
      <c r="AK79" s="7">
        <f t="shared" si="47"/>
        <v>75.773233094634307</v>
      </c>
      <c r="AL79" s="7"/>
      <c r="AM79" s="7"/>
      <c r="AO79" s="18"/>
      <c r="AP79" s="4">
        <f t="shared" si="57"/>
        <v>40670</v>
      </c>
      <c r="AQ79" s="36">
        <f t="shared" si="72"/>
        <v>0.39583333333333331</v>
      </c>
      <c r="AR79">
        <f t="shared" si="72"/>
        <v>2050</v>
      </c>
      <c r="AT79" s="4">
        <v>40671</v>
      </c>
      <c r="AU79" s="36">
        <v>0.49305555555555558</v>
      </c>
      <c r="AV79">
        <v>1200</v>
      </c>
      <c r="AX79" s="45">
        <f t="shared" si="7"/>
        <v>774.68354430379736</v>
      </c>
      <c r="AY79" s="45">
        <f t="shared" si="8"/>
        <v>0</v>
      </c>
      <c r="AZ79" s="7">
        <f t="shared" si="9"/>
        <v>774.68354430379736</v>
      </c>
      <c r="BA79" s="18">
        <f t="shared" si="10"/>
        <v>1</v>
      </c>
      <c r="BB79" s="6">
        <f t="shared" si="11"/>
        <v>26.333333333333336</v>
      </c>
      <c r="BI79" s="91"/>
      <c r="BJ79" s="99">
        <v>0.874</v>
      </c>
      <c r="BK79" s="94">
        <v>40670</v>
      </c>
      <c r="BL79" s="12">
        <v>40670</v>
      </c>
      <c r="BM79" s="72">
        <f t="shared" si="12"/>
        <v>19</v>
      </c>
      <c r="BN79" s="24">
        <f t="shared" si="34"/>
        <v>1</v>
      </c>
      <c r="BO79" s="21">
        <f t="shared" si="35"/>
        <v>33</v>
      </c>
      <c r="BP79" s="5">
        <f>+BJ79</f>
        <v>0.874</v>
      </c>
      <c r="BQ79" s="7">
        <f t="shared" si="63"/>
        <v>774.68354430379736</v>
      </c>
      <c r="BR79" s="7"/>
      <c r="BS79" s="7">
        <f t="shared" si="64"/>
        <v>774.68354430379736</v>
      </c>
      <c r="BT79">
        <f t="shared" si="59"/>
        <v>3.2</v>
      </c>
      <c r="BU79">
        <f t="shared" si="67"/>
        <v>4</v>
      </c>
      <c r="BV79" s="6">
        <f t="shared" si="15"/>
        <v>3.0987341772151895</v>
      </c>
      <c r="BW79" s="6">
        <f t="shared" si="16"/>
        <v>1.471898734177215E-2</v>
      </c>
      <c r="BX79" s="5">
        <f t="shared" si="17"/>
        <v>3.0840151898734174</v>
      </c>
      <c r="BY79" s="5">
        <f t="shared" si="18"/>
        <v>0.96375474683544293</v>
      </c>
      <c r="BZ79" s="5">
        <f t="shared" si="19"/>
        <v>0.96375474683544293</v>
      </c>
      <c r="CA79" s="5">
        <f t="shared" si="20"/>
        <v>3.0987341772151895</v>
      </c>
      <c r="CB79" s="7">
        <f t="shared" si="36"/>
        <v>79.530615762090321</v>
      </c>
      <c r="CC79" s="5">
        <f t="shared" si="37"/>
        <v>1.1717660595509038</v>
      </c>
      <c r="CD79" s="7">
        <f t="shared" ref="CD79:CD88" si="73">+BO87</f>
        <v>41</v>
      </c>
      <c r="CE79" s="5">
        <f t="shared" si="38"/>
        <v>6.6229965156794428</v>
      </c>
      <c r="CF79" s="5">
        <f t="shared" si="39"/>
        <v>116.92728846647915</v>
      </c>
      <c r="CG79">
        <f t="shared" ref="CG79:CG124" si="74">+R81</f>
        <v>41</v>
      </c>
      <c r="CH79" s="5">
        <f t="shared" si="40"/>
        <v>4.9296894773519169</v>
      </c>
      <c r="CI79" s="5">
        <f t="shared" si="41"/>
        <v>93.974020364628359</v>
      </c>
      <c r="CJ79" s="5">
        <f t="shared" si="42"/>
        <v>1.3434916227699438</v>
      </c>
      <c r="CK79" s="5">
        <f t="shared" si="43"/>
        <v>1.2442512091404612</v>
      </c>
      <c r="CL79" s="5"/>
      <c r="CM79" s="5"/>
      <c r="CN79" s="5"/>
      <c r="CO79" s="51"/>
      <c r="CQ79" s="51">
        <f t="shared" si="50"/>
        <v>1.5223294354838708</v>
      </c>
      <c r="CR79" s="6">
        <v>94.384424999999993</v>
      </c>
      <c r="CS79" s="134" t="s">
        <v>178</v>
      </c>
      <c r="CT79" s="4">
        <v>40719</v>
      </c>
      <c r="CU79" s="7">
        <f t="shared" si="51"/>
        <v>1522.3294354838708</v>
      </c>
      <c r="CV79">
        <f t="shared" si="52"/>
        <v>1</v>
      </c>
      <c r="CW79" s="9">
        <f t="shared" si="53"/>
        <v>81</v>
      </c>
      <c r="CX79" s="7">
        <f t="shared" si="55"/>
        <v>4018.2232346241453</v>
      </c>
      <c r="CY79" s="5">
        <f t="shared" si="54"/>
        <v>6.1170595084135488</v>
      </c>
      <c r="DA79" s="5"/>
      <c r="DB79" s="126"/>
      <c r="DC79" s="127"/>
      <c r="DD79" s="129"/>
      <c r="DE79" s="17"/>
      <c r="DF79" s="128"/>
      <c r="DG79" s="128"/>
      <c r="DH79" s="87"/>
      <c r="DI79" s="17"/>
      <c r="DJ79" s="128"/>
      <c r="DK79" s="87"/>
      <c r="DL79" s="17"/>
      <c r="DM79" s="87"/>
      <c r="DN79" s="87"/>
      <c r="DO79" s="87"/>
      <c r="DP79" s="87"/>
      <c r="DQ79" s="17"/>
      <c r="DR79" s="17"/>
      <c r="DU79" s="5"/>
      <c r="DV79" s="7"/>
      <c r="DX79" s="7"/>
      <c r="DY79" s="7"/>
      <c r="DZ79" s="5"/>
    </row>
    <row r="80" spans="1:130">
      <c r="A80">
        <v>22</v>
      </c>
      <c r="B80">
        <v>5.0999999999999997E-2</v>
      </c>
      <c r="D80" s="7"/>
      <c r="F80" s="19"/>
      <c r="G80" s="39"/>
      <c r="H80" s="35"/>
      <c r="I80" s="4"/>
      <c r="J80" s="5"/>
      <c r="K80" s="76"/>
      <c r="L80" s="107">
        <v>40677</v>
      </c>
      <c r="M80" s="76">
        <v>1703.6699999999998</v>
      </c>
      <c r="N80" s="104">
        <v>40677</v>
      </c>
      <c r="O80" s="4">
        <v>40677</v>
      </c>
      <c r="P80" s="23">
        <v>1703.6699999999998</v>
      </c>
      <c r="Q80" s="24">
        <f t="shared" si="21"/>
        <v>4</v>
      </c>
      <c r="R80" s="114">
        <f t="shared" si="22"/>
        <v>40</v>
      </c>
      <c r="S80" s="39">
        <f t="shared" ref="S80:S111" si="75">+P80/1000</f>
        <v>1.7036699999999998</v>
      </c>
      <c r="T80" s="5">
        <f t="shared" ref="T80:T111" si="76">18*P80/1000</f>
        <v>30.666059999999998</v>
      </c>
      <c r="U80" s="7">
        <f t="shared" ref="U80:U111" si="77">+VLOOKUP(O80,$AP$48:$AZ$195,9)</f>
        <v>1444.8160535117056</v>
      </c>
      <c r="V80">
        <f t="shared" si="45"/>
        <v>3.2</v>
      </c>
      <c r="W80" s="77">
        <v>4</v>
      </c>
      <c r="X80" s="6">
        <f t="shared" si="23"/>
        <v>5.7792642140468224</v>
      </c>
      <c r="Y80" s="6">
        <f t="shared" si="24"/>
        <v>2.4614897658862871</v>
      </c>
      <c r="Z80" s="5">
        <f t="shared" si="46"/>
        <v>3.3177744481605353</v>
      </c>
      <c r="AA80" s="113">
        <f t="shared" ref="AA80:AA111" si="78">+Z80/V80</f>
        <v>1.0368045150501672</v>
      </c>
      <c r="AB80" s="5">
        <f t="shared" si="25"/>
        <v>1.036804515050167</v>
      </c>
      <c r="AC80" s="80">
        <f t="shared" si="26"/>
        <v>5.7792642140468224</v>
      </c>
      <c r="AD80" s="5">
        <f t="shared" si="27"/>
        <v>2.3539981105990782</v>
      </c>
      <c r="AE80" s="5">
        <f t="shared" si="28"/>
        <v>5.4517439999999997</v>
      </c>
      <c r="AF80" s="5">
        <f t="shared" si="29"/>
        <v>2.4614897658862875</v>
      </c>
      <c r="AG80" s="7">
        <f t="shared" ref="AG80:AG111" si="79">+AD80*1000</f>
        <v>2353.9981105990782</v>
      </c>
      <c r="AH80" s="5">
        <f t="shared" si="30"/>
        <v>3.3177744481605349</v>
      </c>
      <c r="AI80" s="7">
        <f t="shared" si="31"/>
        <v>1036.8045150501671</v>
      </c>
      <c r="AJ80" s="6">
        <f t="shared" si="32"/>
        <v>13.271097792642141</v>
      </c>
      <c r="AK80" s="7">
        <f t="shared" si="47"/>
        <v>89.044330887276445</v>
      </c>
      <c r="AL80" s="7"/>
      <c r="AM80" s="7"/>
      <c r="AO80" s="18"/>
      <c r="AP80" s="4">
        <f t="shared" si="57"/>
        <v>40671</v>
      </c>
      <c r="AQ80" s="36">
        <f t="shared" si="72"/>
        <v>0.49305555555555558</v>
      </c>
      <c r="AR80">
        <f t="shared" si="72"/>
        <v>1200</v>
      </c>
      <c r="AT80" s="4">
        <v>40672</v>
      </c>
      <c r="AU80" s="36">
        <v>0.72222222222222221</v>
      </c>
      <c r="AV80">
        <v>600</v>
      </c>
      <c r="AX80" s="45">
        <f t="shared" ref="AX80:AX111" si="80">+(AR80-AV80)/BB80*24</f>
        <v>488.13559322033905</v>
      </c>
      <c r="AY80" s="45">
        <f t="shared" ref="AY80:AY111" si="81">+(AS80-AW80)/BB80*24</f>
        <v>0</v>
      </c>
      <c r="AZ80" s="7">
        <f t="shared" ref="AZ80:AZ111" si="82">+AY80+AX80</f>
        <v>488.13559322033905</v>
      </c>
      <c r="BA80" s="18">
        <f t="shared" ref="BA80:BA111" si="83">+AT80-AP80</f>
        <v>1</v>
      </c>
      <c r="BB80" s="6">
        <f t="shared" ref="BB80:BB111" si="84">IF(BA80=0,+BA80*24+HOUR(AU80-AQ80)+MINUTE(AU80-AQ80)/60,+HOUR(AU80)+MINUTE(AU80)/60+BA80*24-HOUR(AQ80)-MINUTE(AQ80)/60)</f>
        <v>29.499999999999996</v>
      </c>
      <c r="BI80" s="91"/>
      <c r="BJ80" s="99">
        <v>0</v>
      </c>
      <c r="BK80" s="94">
        <v>40671</v>
      </c>
      <c r="BL80" s="12">
        <v>40671</v>
      </c>
      <c r="BM80" s="72">
        <f t="shared" ref="BM80:BM111" si="85">+BP80/46*1000</f>
        <v>0</v>
      </c>
      <c r="BN80" s="24">
        <f t="shared" si="34"/>
        <v>1</v>
      </c>
      <c r="BO80" s="21">
        <f t="shared" si="35"/>
        <v>34</v>
      </c>
      <c r="BP80" s="5">
        <v>0</v>
      </c>
      <c r="BQ80" s="7">
        <f t="shared" si="63"/>
        <v>488.13559322033905</v>
      </c>
      <c r="BR80" s="7"/>
      <c r="BS80" s="7">
        <f t="shared" si="64"/>
        <v>488.13559322033905</v>
      </c>
      <c r="BT80">
        <f t="shared" si="59"/>
        <v>3.2</v>
      </c>
      <c r="BU80">
        <f t="shared" si="67"/>
        <v>4</v>
      </c>
      <c r="BV80" s="6">
        <f t="shared" ref="BV80:BV111" si="86">+BQ80*BU80/1000</f>
        <v>1.9525423728813562</v>
      </c>
      <c r="BW80" s="6">
        <f t="shared" ref="BW80:BW111" si="87">+BS80*BM80/1000000</f>
        <v>0</v>
      </c>
      <c r="BX80" s="5">
        <f t="shared" ref="BX80:BX111" si="88">+BV80-BW80</f>
        <v>1.9525423728813562</v>
      </c>
      <c r="BY80" s="5">
        <f t="shared" ref="BY80:BY111" si="89">+BX80/BT80</f>
        <v>0.61016949152542377</v>
      </c>
      <c r="BZ80" s="5">
        <f t="shared" ref="BZ80:BZ111" si="90">+(BU80*BS80-BM80/1000*BS80)/1000/BT80</f>
        <v>0.61016949152542377</v>
      </c>
      <c r="CA80" s="5">
        <f t="shared" ref="CA80:CA111" si="91">+BV80*BN80</f>
        <v>1.9525423728813562</v>
      </c>
      <c r="CB80" s="7">
        <f t="shared" si="36"/>
        <v>81.483158134971674</v>
      </c>
      <c r="CC80" s="5">
        <f t="shared" si="37"/>
        <v>1.1693087236126407</v>
      </c>
      <c r="CD80" s="7">
        <f t="shared" si="73"/>
        <v>42</v>
      </c>
      <c r="CE80" s="5">
        <f t="shared" si="38"/>
        <v>3.0044093023255809</v>
      </c>
      <c r="CF80" s="5">
        <f t="shared" si="39"/>
        <v>119.94124195485125</v>
      </c>
      <c r="CG80">
        <f t="shared" si="74"/>
        <v>42</v>
      </c>
      <c r="CH80" s="5">
        <f t="shared" si="40"/>
        <v>2.3285905116279064</v>
      </c>
      <c r="CI80" s="5">
        <f t="shared" si="41"/>
        <v>96.302610876256267</v>
      </c>
      <c r="CJ80" s="5">
        <f t="shared" si="42"/>
        <v>1.2902265500623433</v>
      </c>
      <c r="CK80" s="5">
        <f t="shared" si="43"/>
        <v>1.2454619959262514</v>
      </c>
      <c r="CL80" s="5"/>
      <c r="CM80" s="5"/>
      <c r="CN80" s="5"/>
      <c r="CO80" s="51"/>
      <c r="CQ80" s="51">
        <f t="shared" si="50"/>
        <v>2.4151816935483867</v>
      </c>
      <c r="CR80" s="6">
        <v>149.74126499999997</v>
      </c>
      <c r="CS80" s="133" t="s">
        <v>179</v>
      </c>
      <c r="CT80" s="4">
        <v>40720</v>
      </c>
      <c r="CU80" s="7">
        <f t="shared" si="51"/>
        <v>2415.1816935483866</v>
      </c>
      <c r="CV80">
        <f t="shared" si="52"/>
        <v>1</v>
      </c>
      <c r="CW80" s="9">
        <f t="shared" si="53"/>
        <v>82</v>
      </c>
      <c r="CX80" s="7">
        <f t="shared" si="55"/>
        <v>3696.4285714285716</v>
      </c>
      <c r="CY80" s="5">
        <f t="shared" si="54"/>
        <v>8.9275466172235021</v>
      </c>
      <c r="DA80" s="5"/>
      <c r="DB80" s="126"/>
      <c r="DC80" s="127"/>
      <c r="DD80" s="129"/>
      <c r="DE80" s="17"/>
      <c r="DF80" s="128"/>
      <c r="DG80" s="128"/>
      <c r="DH80" s="87"/>
      <c r="DI80" s="17"/>
      <c r="DJ80" s="128"/>
      <c r="DK80" s="87"/>
      <c r="DL80" s="17"/>
      <c r="DM80" s="87"/>
      <c r="DN80" s="87"/>
      <c r="DO80" s="87"/>
      <c r="DP80" s="87"/>
      <c r="DQ80" s="17"/>
      <c r="DR80" s="17"/>
      <c r="DU80" s="5"/>
      <c r="DV80" s="7"/>
      <c r="DX80" s="7"/>
      <c r="DY80" s="7"/>
      <c r="DZ80" s="5"/>
    </row>
    <row r="81" spans="1:130">
      <c r="A81">
        <v>23</v>
      </c>
      <c r="B81">
        <v>9.9000000000000005E-2</v>
      </c>
      <c r="C81">
        <f>AVERAGE(B81:B82)</f>
        <v>9.9000000000000005E-2</v>
      </c>
      <c r="D81" s="7"/>
      <c r="F81" s="3"/>
      <c r="G81" s="39"/>
      <c r="H81" s="35"/>
      <c r="I81" s="118" t="s">
        <v>150</v>
      </c>
      <c r="J81" s="5"/>
      <c r="K81" s="76"/>
      <c r="L81" s="107">
        <v>40678</v>
      </c>
      <c r="M81" s="76">
        <v>319.95</v>
      </c>
      <c r="N81" s="104">
        <v>40678</v>
      </c>
      <c r="O81" s="4">
        <v>40678</v>
      </c>
      <c r="P81" s="83">
        <f>+(P80+P82)/2</f>
        <v>1534.0249999999999</v>
      </c>
      <c r="Q81" s="24">
        <f t="shared" ref="Q81:Q112" si="92">+DAY(O81-O80)</f>
        <v>1</v>
      </c>
      <c r="R81" s="114">
        <f t="shared" ref="R81:R112" si="93">+Q81+R80</f>
        <v>41</v>
      </c>
      <c r="S81" s="39">
        <f t="shared" si="75"/>
        <v>1.534025</v>
      </c>
      <c r="T81" s="117">
        <f t="shared" si="76"/>
        <v>27.612449999999995</v>
      </c>
      <c r="U81" s="7">
        <f t="shared" si="77"/>
        <v>1103.8327526132405</v>
      </c>
      <c r="V81">
        <f t="shared" si="45"/>
        <v>3.2</v>
      </c>
      <c r="W81" s="77">
        <v>6</v>
      </c>
      <c r="X81" s="6">
        <f t="shared" ref="X81:X112" si="94">+U81*W81/1000</f>
        <v>6.6229965156794428</v>
      </c>
      <c r="Y81" s="6">
        <f t="shared" ref="Y81:Y112" si="95">+U81*P81/1000000</f>
        <v>1.6933070383275262</v>
      </c>
      <c r="Z81" s="5">
        <f t="shared" si="46"/>
        <v>4.9296894773519169</v>
      </c>
      <c r="AA81" s="113">
        <f t="shared" si="78"/>
        <v>1.5405279616724739</v>
      </c>
      <c r="AB81" s="5">
        <f t="shared" ref="AB81:AB112" si="96">+(W81-P81/1000)*U81/1000/V81</f>
        <v>1.5405279616724739</v>
      </c>
      <c r="AC81" s="80">
        <f t="shared" ref="AC81:AC112" si="97">+X81</f>
        <v>6.6229965156794428</v>
      </c>
      <c r="AD81" s="5">
        <f t="shared" ref="AD81:AD112" si="98">+(AE80+AC81)/(V81+U81/1000)</f>
        <v>2.8055784715025904</v>
      </c>
      <c r="AE81" s="5">
        <f t="shared" ref="AE81:AE112" si="99">+V81*P81/1000</f>
        <v>4.9088799999999999</v>
      </c>
      <c r="AF81" s="5">
        <f t="shared" ref="AF81:AF112" si="100">+U81/1000*P81/1000</f>
        <v>1.6933070383275262</v>
      </c>
      <c r="AG81" s="7">
        <f t="shared" si="79"/>
        <v>2805.5784715025902</v>
      </c>
      <c r="AH81" s="5">
        <f t="shared" ref="AH81:AH112" si="101">+AC81-AF81</f>
        <v>4.9296894773519169</v>
      </c>
      <c r="AI81" s="7">
        <f t="shared" ref="AI81:AI112" si="102">+AH81*1000/V81</f>
        <v>1540.527961672474</v>
      </c>
      <c r="AJ81" s="6">
        <f t="shared" ref="AJ81:AJ112" si="103">+Q81*Z81</f>
        <v>4.9296894773519169</v>
      </c>
      <c r="AK81" s="7">
        <f t="shared" si="47"/>
        <v>93.974020364628359</v>
      </c>
      <c r="AL81" s="7"/>
      <c r="AM81" s="7"/>
      <c r="AO81" s="18"/>
      <c r="AP81" s="4">
        <f t="shared" si="57"/>
        <v>40672</v>
      </c>
      <c r="AQ81" s="36">
        <v>0.22222222222222221</v>
      </c>
      <c r="AR81">
        <v>3800</v>
      </c>
      <c r="AT81" s="4">
        <v>40673</v>
      </c>
      <c r="AU81" s="36">
        <v>0.37291666666666662</v>
      </c>
      <c r="AV81">
        <v>2100</v>
      </c>
      <c r="AX81" s="45">
        <f t="shared" si="80"/>
        <v>1477.3687386843692</v>
      </c>
      <c r="AY81" s="45">
        <f t="shared" si="81"/>
        <v>0</v>
      </c>
      <c r="AZ81" s="7">
        <f t="shared" si="82"/>
        <v>1477.3687386843692</v>
      </c>
      <c r="BA81" s="18">
        <f t="shared" si="83"/>
        <v>1</v>
      </c>
      <c r="BB81" s="6">
        <f t="shared" si="84"/>
        <v>27.616666666666671</v>
      </c>
      <c r="BI81" s="91"/>
      <c r="BJ81" s="99">
        <v>0</v>
      </c>
      <c r="BK81" s="94">
        <v>40672</v>
      </c>
      <c r="BL81" s="12">
        <v>40672</v>
      </c>
      <c r="BM81" s="72">
        <f t="shared" si="85"/>
        <v>0</v>
      </c>
      <c r="BN81" s="24">
        <f t="shared" ref="BN81:BN112" si="104">+DAY(BL81-BL80)</f>
        <v>1</v>
      </c>
      <c r="BO81" s="21">
        <f t="shared" ref="BO81:BO112" si="105">+BN81+BO80</f>
        <v>35</v>
      </c>
      <c r="BP81" s="5">
        <v>0</v>
      </c>
      <c r="BQ81" s="7">
        <f t="shared" si="63"/>
        <v>1477.3687386843692</v>
      </c>
      <c r="BR81" s="7"/>
      <c r="BS81" s="7">
        <f t="shared" si="64"/>
        <v>1477.3687386843692</v>
      </c>
      <c r="BT81">
        <f t="shared" si="59"/>
        <v>3.2</v>
      </c>
      <c r="BU81">
        <f t="shared" si="67"/>
        <v>4</v>
      </c>
      <c r="BV81" s="6">
        <f t="shared" si="86"/>
        <v>5.909474954737477</v>
      </c>
      <c r="BW81" s="6">
        <f t="shared" si="87"/>
        <v>0</v>
      </c>
      <c r="BX81" s="5">
        <f t="shared" si="88"/>
        <v>5.909474954737477</v>
      </c>
      <c r="BY81" s="5">
        <f t="shared" si="89"/>
        <v>1.8467109233554615</v>
      </c>
      <c r="BZ81" s="5">
        <f t="shared" si="90"/>
        <v>1.8467109233554615</v>
      </c>
      <c r="CA81" s="5">
        <f t="shared" si="91"/>
        <v>5.909474954737477</v>
      </c>
      <c r="CB81" s="7">
        <f t="shared" ref="CB81:CB112" si="106">+CA81+CB80</f>
        <v>87.39263308970915</v>
      </c>
      <c r="CC81" s="5">
        <f t="shared" ref="CC81:CC112" si="107">+CB81/+VLOOKUP(BO81,$R$49:$AK$126,20)</f>
        <v>1.1830447006916909</v>
      </c>
      <c r="CD81" s="7">
        <f t="shared" si="73"/>
        <v>43</v>
      </c>
      <c r="CE81" s="5">
        <f t="shared" ref="CE81:CE112" si="108">+VLOOKUP(CD81,$BO$48:$BX$151,10)</f>
        <v>8.7183771428571415</v>
      </c>
      <c r="CF81" s="5">
        <f t="shared" ref="CF81:CF112" si="109">+VLOOKUP(CD81,$BO$48:$CB$151,14)</f>
        <v>128.68409909770838</v>
      </c>
      <c r="CG81">
        <f t="shared" si="74"/>
        <v>43</v>
      </c>
      <c r="CH81" s="5">
        <f t="shared" ref="CH81:CH112" si="110">+VLOOKUP(CG81,$R$49:$Z$152,9)</f>
        <v>3.7336109142857143</v>
      </c>
      <c r="CI81" s="5">
        <f t="shared" ref="CI81:CI112" si="111">+VLOOKUP(CG81,$R$49:$AK$152,20)</f>
        <v>100.03622179054199</v>
      </c>
      <c r="CJ81" s="5">
        <f t="shared" ref="CJ81:CJ112" si="112">+CE81/CH81</f>
        <v>2.3351059719421978</v>
      </c>
      <c r="CK81" s="5">
        <f t="shared" ref="CK81:CK112" si="113">+CF81/CI81</f>
        <v>1.2863750429034591</v>
      </c>
      <c r="CL81" s="5"/>
      <c r="CM81" s="5"/>
      <c r="CN81" s="5"/>
      <c r="CO81" s="51"/>
      <c r="CQ81" s="51">
        <f t="shared" si="50"/>
        <v>1.1846109677419354</v>
      </c>
      <c r="CR81" s="6">
        <v>73.445880000000002</v>
      </c>
      <c r="CS81" s="134" t="s">
        <v>180</v>
      </c>
      <c r="CT81" s="4">
        <v>40721</v>
      </c>
      <c r="CU81" s="7">
        <f t="shared" si="51"/>
        <v>1184.6109677419354</v>
      </c>
      <c r="CV81">
        <f t="shared" si="52"/>
        <v>1</v>
      </c>
      <c r="CW81" s="9">
        <f t="shared" si="53"/>
        <v>83</v>
      </c>
      <c r="CX81" s="7">
        <f t="shared" si="55"/>
        <v>3974.9058971141785</v>
      </c>
      <c r="CY81" s="5">
        <f t="shared" si="54"/>
        <v>4.708717121463553</v>
      </c>
      <c r="DA81" s="5"/>
      <c r="DB81" s="126"/>
      <c r="DC81" s="127"/>
      <c r="DD81" s="129"/>
      <c r="DE81" s="17"/>
      <c r="DF81" s="128"/>
      <c r="DG81" s="128"/>
      <c r="DH81" s="87"/>
      <c r="DI81" s="17"/>
      <c r="DJ81" s="128"/>
      <c r="DK81" s="87"/>
      <c r="DL81" s="17"/>
      <c r="DM81" s="87"/>
      <c r="DN81" s="87"/>
      <c r="DO81" s="87"/>
      <c r="DP81" s="87"/>
      <c r="DQ81" s="17"/>
      <c r="DR81" s="17"/>
      <c r="DU81" s="5"/>
      <c r="DV81" s="7"/>
      <c r="DX81" s="7"/>
      <c r="DY81" s="7"/>
      <c r="DZ81" s="5"/>
    </row>
    <row r="82" spans="1:130">
      <c r="A82">
        <v>23</v>
      </c>
      <c r="B82">
        <v>9.9000000000000005E-2</v>
      </c>
      <c r="D82" s="7"/>
      <c r="F82" s="19"/>
      <c r="G82" s="39"/>
      <c r="H82" s="35"/>
      <c r="I82" s="4"/>
      <c r="J82" s="5">
        <v>1.3643799999999999</v>
      </c>
      <c r="K82" s="76">
        <f>+J82*1000</f>
        <v>1364.3799999999999</v>
      </c>
      <c r="L82" s="107">
        <v>40679</v>
      </c>
      <c r="M82" s="76">
        <v>1364.3799999999999</v>
      </c>
      <c r="N82" s="104">
        <v>40679</v>
      </c>
      <c r="O82" s="81">
        <v>40679</v>
      </c>
      <c r="P82" s="23">
        <v>1364.3799999999999</v>
      </c>
      <c r="Q82" s="24">
        <f t="shared" si="92"/>
        <v>1</v>
      </c>
      <c r="R82" s="114">
        <f t="shared" si="93"/>
        <v>42</v>
      </c>
      <c r="S82" s="39">
        <f t="shared" si="75"/>
        <v>1.3643799999999999</v>
      </c>
      <c r="T82" s="5">
        <f t="shared" si="76"/>
        <v>24.558839999999996</v>
      </c>
      <c r="U82" s="7">
        <f t="shared" si="77"/>
        <v>502.32558139534876</v>
      </c>
      <c r="V82">
        <f t="shared" ref="V82:V113" si="114">+V81</f>
        <v>3.2</v>
      </c>
      <c r="W82" s="77">
        <v>6</v>
      </c>
      <c r="X82" s="6">
        <f t="shared" si="94"/>
        <v>3.0139534883720924</v>
      </c>
      <c r="Y82" s="6">
        <f t="shared" si="95"/>
        <v>0.68536297674418589</v>
      </c>
      <c r="Z82" s="5">
        <f t="shared" ref="Z82:Z113" si="115">+X82-Y82</f>
        <v>2.3285905116279064</v>
      </c>
      <c r="AA82" s="113">
        <f t="shared" si="78"/>
        <v>0.72768453488372076</v>
      </c>
      <c r="AB82" s="5">
        <f t="shared" si="96"/>
        <v>0.72768453488372087</v>
      </c>
      <c r="AC82" s="80">
        <f t="shared" si="97"/>
        <v>3.0139534883720924</v>
      </c>
      <c r="AD82" s="5">
        <f t="shared" si="98"/>
        <v>2.1399613065326628</v>
      </c>
      <c r="AE82" s="5">
        <f t="shared" si="99"/>
        <v>4.3660159999999992</v>
      </c>
      <c r="AF82" s="5">
        <f t="shared" si="100"/>
        <v>0.68536297674418589</v>
      </c>
      <c r="AG82" s="7">
        <f t="shared" si="79"/>
        <v>2139.961306532663</v>
      </c>
      <c r="AH82" s="5">
        <f t="shared" si="101"/>
        <v>2.3285905116279064</v>
      </c>
      <c r="AI82" s="7">
        <f t="shared" si="102"/>
        <v>727.68453488372074</v>
      </c>
      <c r="AJ82" s="6">
        <f t="shared" si="103"/>
        <v>2.3285905116279064</v>
      </c>
      <c r="AK82" s="7">
        <f t="shared" ref="AK82:AK113" si="116">+AJ82+AK81</f>
        <v>96.302610876256267</v>
      </c>
      <c r="AL82" s="7"/>
      <c r="AM82" s="7"/>
      <c r="AO82" s="18"/>
      <c r="AP82" s="4">
        <f t="shared" si="57"/>
        <v>40673</v>
      </c>
      <c r="AQ82" s="36">
        <v>0.90625</v>
      </c>
      <c r="AR82">
        <v>3150</v>
      </c>
      <c r="AT82" s="4">
        <v>40674</v>
      </c>
      <c r="AU82" s="36">
        <v>0.34583333333333338</v>
      </c>
      <c r="AV82">
        <v>2800</v>
      </c>
      <c r="AX82" s="45">
        <f t="shared" si="80"/>
        <v>796.20853080568747</v>
      </c>
      <c r="AY82" s="45">
        <f t="shared" si="81"/>
        <v>0</v>
      </c>
      <c r="AZ82" s="7">
        <f t="shared" si="82"/>
        <v>796.20853080568747</v>
      </c>
      <c r="BA82" s="18">
        <f t="shared" si="83"/>
        <v>1</v>
      </c>
      <c r="BB82" s="6">
        <f t="shared" si="84"/>
        <v>10.549999999999997</v>
      </c>
      <c r="BI82" s="91"/>
      <c r="BJ82" s="99">
        <v>0.50600000000000001</v>
      </c>
      <c r="BK82" s="94">
        <v>40673</v>
      </c>
      <c r="BL82" s="12">
        <v>40673</v>
      </c>
      <c r="BM82" s="72">
        <f t="shared" si="85"/>
        <v>11</v>
      </c>
      <c r="BN82" s="24">
        <f t="shared" si="104"/>
        <v>1</v>
      </c>
      <c r="BO82" s="21">
        <f t="shared" si="105"/>
        <v>36</v>
      </c>
      <c r="BP82" s="5">
        <f>+BJ82</f>
        <v>0.50600000000000001</v>
      </c>
      <c r="BQ82" s="7">
        <f t="shared" si="63"/>
        <v>796.20853080568747</v>
      </c>
      <c r="BR82" s="7"/>
      <c r="BS82" s="7">
        <f t="shared" si="64"/>
        <v>796.20853080568747</v>
      </c>
      <c r="BT82">
        <f t="shared" si="59"/>
        <v>3.2</v>
      </c>
      <c r="BU82">
        <f t="shared" si="67"/>
        <v>4</v>
      </c>
      <c r="BV82" s="6">
        <f t="shared" si="86"/>
        <v>3.1848341232227497</v>
      </c>
      <c r="BW82" s="6">
        <f t="shared" si="87"/>
        <v>8.7582938388625631E-3</v>
      </c>
      <c r="BX82" s="5">
        <f t="shared" si="88"/>
        <v>3.1760758293838873</v>
      </c>
      <c r="BY82" s="5">
        <f t="shared" si="89"/>
        <v>0.99252369668246476</v>
      </c>
      <c r="BZ82" s="5">
        <f t="shared" si="90"/>
        <v>0.99252369668246476</v>
      </c>
      <c r="CA82" s="5">
        <f t="shared" si="91"/>
        <v>3.1848341232227497</v>
      </c>
      <c r="CB82" s="7">
        <f t="shared" si="106"/>
        <v>90.577467212931907</v>
      </c>
      <c r="CC82" s="5">
        <f t="shared" si="107"/>
        <v>1.1953755107665576</v>
      </c>
      <c r="CD82" s="7">
        <f t="shared" si="73"/>
        <v>44</v>
      </c>
      <c r="CE82" s="5">
        <f t="shared" si="108"/>
        <v>10.794570135746607</v>
      </c>
      <c r="CF82" s="5">
        <f t="shared" si="109"/>
        <v>139.5438276044957</v>
      </c>
      <c r="CG82">
        <f t="shared" si="74"/>
        <v>44</v>
      </c>
      <c r="CH82" s="5">
        <f t="shared" si="110"/>
        <v>4.615732126696833</v>
      </c>
      <c r="CI82" s="5">
        <f t="shared" si="111"/>
        <v>104.65195391723881</v>
      </c>
      <c r="CJ82" s="5">
        <f t="shared" si="112"/>
        <v>2.3386474430160553</v>
      </c>
      <c r="CK82" s="5">
        <f t="shared" si="113"/>
        <v>1.3334087170015974</v>
      </c>
      <c r="CL82" s="5"/>
      <c r="CM82" s="5"/>
      <c r="CN82" s="5"/>
      <c r="CO82" s="51"/>
      <c r="CQ82" s="51">
        <f t="shared" si="50"/>
        <v>2.4992489516129033</v>
      </c>
      <c r="CR82" s="6">
        <v>154.95343500000001</v>
      </c>
      <c r="CS82" s="133" t="s">
        <v>181</v>
      </c>
      <c r="CT82" s="4">
        <v>40722</v>
      </c>
      <c r="CU82" s="7">
        <f t="shared" si="51"/>
        <v>2499.2489516129031</v>
      </c>
      <c r="CV82">
        <f t="shared" si="52"/>
        <v>1</v>
      </c>
      <c r="CW82" s="9">
        <f t="shared" si="53"/>
        <v>84</v>
      </c>
      <c r="CX82" s="7">
        <f t="shared" si="55"/>
        <v>3852.2292993630567</v>
      </c>
      <c r="CY82" s="5">
        <f t="shared" si="54"/>
        <v>9.6276800378056286</v>
      </c>
      <c r="DA82" s="5"/>
      <c r="DB82" s="126"/>
      <c r="DC82" s="127"/>
      <c r="DD82" s="129"/>
      <c r="DE82" s="17"/>
      <c r="DF82" s="128"/>
      <c r="DG82" s="128"/>
      <c r="DH82" s="87"/>
      <c r="DI82" s="17"/>
      <c r="DJ82" s="128"/>
      <c r="DK82" s="87"/>
      <c r="DL82" s="17"/>
      <c r="DM82" s="87"/>
      <c r="DN82" s="87"/>
      <c r="DO82" s="87"/>
      <c r="DP82" s="87"/>
      <c r="DQ82" s="17"/>
      <c r="DR82" s="17"/>
      <c r="DU82" s="5"/>
      <c r="DV82" s="7"/>
      <c r="DX82" s="7"/>
      <c r="DY82" s="7"/>
      <c r="DZ82" s="5"/>
    </row>
    <row r="83" spans="1:130">
      <c r="A83">
        <v>24</v>
      </c>
      <c r="B83">
        <v>9.1999999999999998E-2</v>
      </c>
      <c r="C83">
        <f>AVERAGE(B83:B84)</f>
        <v>9.2499999999999999E-2</v>
      </c>
      <c r="D83" s="7"/>
      <c r="F83" s="3"/>
      <c r="G83" s="39"/>
      <c r="H83" s="35"/>
      <c r="I83" s="4"/>
      <c r="J83" s="5">
        <v>1.72953</v>
      </c>
      <c r="K83" s="76">
        <f>+J83*1000</f>
        <v>1729.53</v>
      </c>
      <c r="L83" s="107">
        <v>40680</v>
      </c>
      <c r="M83" s="76">
        <v>1729.53</v>
      </c>
      <c r="N83" s="104">
        <v>40680</v>
      </c>
      <c r="O83" s="81">
        <v>40680</v>
      </c>
      <c r="P83" s="23">
        <v>1729.53</v>
      </c>
      <c r="Q83" s="24">
        <f t="shared" si="92"/>
        <v>1</v>
      </c>
      <c r="R83" s="114">
        <f t="shared" si="93"/>
        <v>43</v>
      </c>
      <c r="S83" s="39">
        <f t="shared" si="75"/>
        <v>1.72953</v>
      </c>
      <c r="T83" s="5">
        <f t="shared" si="76"/>
        <v>31.131540000000001</v>
      </c>
      <c r="U83" s="7">
        <f t="shared" si="77"/>
        <v>874.28571428571422</v>
      </c>
      <c r="V83">
        <f t="shared" si="114"/>
        <v>3.2</v>
      </c>
      <c r="W83" s="77">
        <v>6</v>
      </c>
      <c r="X83" s="6">
        <f t="shared" si="94"/>
        <v>5.2457142857142856</v>
      </c>
      <c r="Y83" s="6">
        <f t="shared" si="95"/>
        <v>1.5121033714285714</v>
      </c>
      <c r="Z83" s="5">
        <f t="shared" si="115"/>
        <v>3.7336109142857143</v>
      </c>
      <c r="AA83" s="113">
        <f t="shared" si="78"/>
        <v>1.1667534107142856</v>
      </c>
      <c r="AB83" s="5">
        <f t="shared" si="96"/>
        <v>1.1667534107142854</v>
      </c>
      <c r="AC83" s="80">
        <f t="shared" si="97"/>
        <v>5.2457142857142856</v>
      </c>
      <c r="AD83" s="5">
        <f t="shared" si="98"/>
        <v>2.3591203366058897</v>
      </c>
      <c r="AE83" s="5">
        <f t="shared" si="99"/>
        <v>5.5344959999999999</v>
      </c>
      <c r="AF83" s="5">
        <f t="shared" si="100"/>
        <v>1.5121033714285714</v>
      </c>
      <c r="AG83" s="7">
        <f t="shared" si="79"/>
        <v>2359.1203366058899</v>
      </c>
      <c r="AH83" s="5">
        <f t="shared" si="101"/>
        <v>3.7336109142857143</v>
      </c>
      <c r="AI83" s="7">
        <f t="shared" si="102"/>
        <v>1166.7534107142858</v>
      </c>
      <c r="AJ83" s="6">
        <f t="shared" si="103"/>
        <v>3.7336109142857143</v>
      </c>
      <c r="AK83" s="7">
        <f t="shared" si="116"/>
        <v>100.03622179054199</v>
      </c>
      <c r="AL83" s="7"/>
      <c r="AM83" s="7"/>
      <c r="AO83" s="18"/>
      <c r="AP83" s="4">
        <f t="shared" si="57"/>
        <v>40674</v>
      </c>
      <c r="AQ83" s="36">
        <f>+AU82</f>
        <v>0.34583333333333338</v>
      </c>
      <c r="AR83">
        <f>+AV82</f>
        <v>2800</v>
      </c>
      <c r="AT83" s="4">
        <v>40675</v>
      </c>
      <c r="AU83" s="36">
        <v>0.3923611111111111</v>
      </c>
      <c r="AV83">
        <v>1850</v>
      </c>
      <c r="AX83" s="45">
        <f t="shared" si="80"/>
        <v>907.76376907763779</v>
      </c>
      <c r="AY83" s="45">
        <f t="shared" si="81"/>
        <v>0</v>
      </c>
      <c r="AZ83" s="7">
        <f t="shared" si="82"/>
        <v>907.76376907763779</v>
      </c>
      <c r="BA83" s="18">
        <f t="shared" si="83"/>
        <v>1</v>
      </c>
      <c r="BB83" s="6">
        <f t="shared" si="84"/>
        <v>25.116666666666664</v>
      </c>
      <c r="BI83" s="50"/>
      <c r="BJ83" s="27"/>
      <c r="BK83" s="21"/>
      <c r="BL83" s="12">
        <v>40674</v>
      </c>
      <c r="BM83" s="72">
        <f t="shared" si="85"/>
        <v>108.69565217391305</v>
      </c>
      <c r="BN83" s="24">
        <f t="shared" si="104"/>
        <v>1</v>
      </c>
      <c r="BO83" s="21">
        <f t="shared" si="105"/>
        <v>37</v>
      </c>
      <c r="BP83" s="5">
        <v>5</v>
      </c>
      <c r="BQ83" s="7">
        <f t="shared" si="63"/>
        <v>907.76376907763779</v>
      </c>
      <c r="BR83" s="7"/>
      <c r="BS83" s="7">
        <f t="shared" si="64"/>
        <v>907.76376907763779</v>
      </c>
      <c r="BT83">
        <f t="shared" si="59"/>
        <v>3.2</v>
      </c>
      <c r="BU83">
        <f t="shared" si="67"/>
        <v>4</v>
      </c>
      <c r="BV83" s="6">
        <f t="shared" si="86"/>
        <v>3.6310550763105511</v>
      </c>
      <c r="BW83" s="6">
        <f t="shared" si="87"/>
        <v>9.8669974899743246E-2</v>
      </c>
      <c r="BX83" s="5">
        <f t="shared" si="88"/>
        <v>3.5323851014108079</v>
      </c>
      <c r="BY83" s="5">
        <f t="shared" si="89"/>
        <v>1.1038703441908775</v>
      </c>
      <c r="BZ83" s="5">
        <f t="shared" si="90"/>
        <v>1.1038703441908775</v>
      </c>
      <c r="CA83" s="5">
        <f t="shared" si="91"/>
        <v>3.6310550763105511</v>
      </c>
      <c r="CB83" s="7">
        <f t="shared" si="106"/>
        <v>94.208522289242453</v>
      </c>
      <c r="CC83" s="5">
        <f t="shared" si="107"/>
        <v>1.2432955338144809</v>
      </c>
      <c r="CD83" s="7">
        <f t="shared" si="73"/>
        <v>45</v>
      </c>
      <c r="CE83" s="5">
        <f t="shared" si="108"/>
        <v>10.571294117647055</v>
      </c>
      <c r="CF83" s="5">
        <f t="shared" si="109"/>
        <v>150.13206289861336</v>
      </c>
      <c r="CG83">
        <f t="shared" si="74"/>
        <v>45</v>
      </c>
      <c r="CH83" s="5">
        <f t="shared" si="110"/>
        <v>4.8132529411764686</v>
      </c>
      <c r="CI83" s="5">
        <f t="shared" si="111"/>
        <v>109.46520685841529</v>
      </c>
      <c r="CJ83" s="5">
        <f t="shared" si="112"/>
        <v>2.1962889228637108</v>
      </c>
      <c r="CK83" s="5">
        <f t="shared" si="113"/>
        <v>1.3715048571807613</v>
      </c>
      <c r="CL83" s="5"/>
      <c r="CM83" s="5"/>
      <c r="CN83" s="5"/>
      <c r="CO83" s="51"/>
      <c r="CQ83" s="51">
        <f t="shared" si="50"/>
        <v>1.3397005645161288</v>
      </c>
      <c r="CR83" s="6">
        <v>83.061434999999989</v>
      </c>
      <c r="CS83" s="134" t="s">
        <v>182</v>
      </c>
      <c r="CT83" s="4">
        <v>40724</v>
      </c>
      <c r="CU83" s="7">
        <f t="shared" si="51"/>
        <v>1339.7005645161289</v>
      </c>
      <c r="CV83">
        <f t="shared" si="52"/>
        <v>2</v>
      </c>
      <c r="CW83" s="9">
        <f t="shared" si="53"/>
        <v>86</v>
      </c>
      <c r="CX83" s="7">
        <f t="shared" si="55"/>
        <v>3720.9302325581393</v>
      </c>
      <c r="CY83" s="5">
        <f t="shared" si="54"/>
        <v>4.98493233308327</v>
      </c>
      <c r="DA83" s="5"/>
      <c r="DB83" s="126"/>
      <c r="DC83" s="127"/>
      <c r="DD83" s="129"/>
      <c r="DE83" s="125"/>
      <c r="DF83" s="128"/>
      <c r="DG83" s="128"/>
      <c r="DH83" s="90"/>
      <c r="DI83" s="17"/>
      <c r="DJ83" s="128"/>
      <c r="DK83" s="87"/>
      <c r="DL83" s="17"/>
      <c r="DM83" s="87"/>
      <c r="DN83" s="87"/>
      <c r="DO83" s="87"/>
      <c r="DP83" s="87"/>
      <c r="DQ83" s="17"/>
      <c r="DR83" s="17"/>
      <c r="DU83" s="5"/>
      <c r="DV83" s="7"/>
      <c r="DX83" s="7"/>
      <c r="DY83" s="7"/>
      <c r="DZ83" s="5"/>
    </row>
    <row r="84" spans="1:130">
      <c r="A84">
        <v>24</v>
      </c>
      <c r="B84">
        <v>9.2999999999999999E-2</v>
      </c>
      <c r="D84" s="7"/>
      <c r="F84" s="19"/>
      <c r="G84" s="39"/>
      <c r="H84" s="35"/>
      <c r="I84" s="4"/>
      <c r="J84" s="5">
        <v>1.7496799999999999</v>
      </c>
      <c r="K84" s="76">
        <f>+J84*1000</f>
        <v>1749.6799999999998</v>
      </c>
      <c r="L84" s="107">
        <v>40681</v>
      </c>
      <c r="M84" s="76">
        <v>1749.6799999999998</v>
      </c>
      <c r="N84" s="104">
        <v>40681</v>
      </c>
      <c r="O84" s="81">
        <v>40681</v>
      </c>
      <c r="P84" s="23">
        <v>1749.6799999999998</v>
      </c>
      <c r="Q84" s="24">
        <f t="shared" si="92"/>
        <v>1</v>
      </c>
      <c r="R84" s="114">
        <f t="shared" si="93"/>
        <v>44</v>
      </c>
      <c r="S84" s="39">
        <f t="shared" si="75"/>
        <v>1.7496799999999999</v>
      </c>
      <c r="T84" s="5">
        <f t="shared" si="76"/>
        <v>31.494239999999998</v>
      </c>
      <c r="U84" s="7">
        <f t="shared" si="77"/>
        <v>1085.972850678733</v>
      </c>
      <c r="V84">
        <f t="shared" si="114"/>
        <v>3.2</v>
      </c>
      <c r="W84" s="77">
        <v>6</v>
      </c>
      <c r="X84" s="6">
        <f t="shared" si="94"/>
        <v>6.5158371040723981</v>
      </c>
      <c r="Y84" s="6">
        <f t="shared" si="95"/>
        <v>1.9001049773755654</v>
      </c>
      <c r="Z84" s="5">
        <f t="shared" si="115"/>
        <v>4.615732126696833</v>
      </c>
      <c r="AA84" s="113">
        <f t="shared" si="78"/>
        <v>1.4424162895927601</v>
      </c>
      <c r="AB84" s="5">
        <f t="shared" si="96"/>
        <v>1.4424162895927601</v>
      </c>
      <c r="AC84" s="80">
        <f t="shared" si="97"/>
        <v>6.5158371040723981</v>
      </c>
      <c r="AD84" s="5">
        <f t="shared" si="98"/>
        <v>2.8115747635135135</v>
      </c>
      <c r="AE84" s="5">
        <f t="shared" si="99"/>
        <v>5.5989759999999995</v>
      </c>
      <c r="AF84" s="5">
        <f t="shared" si="100"/>
        <v>1.9001049773755654</v>
      </c>
      <c r="AG84" s="7">
        <f t="shared" si="79"/>
        <v>2811.5747635135135</v>
      </c>
      <c r="AH84" s="5">
        <f t="shared" si="101"/>
        <v>4.615732126696833</v>
      </c>
      <c r="AI84" s="7">
        <f t="shared" si="102"/>
        <v>1442.4162895927602</v>
      </c>
      <c r="AJ84" s="6">
        <f t="shared" si="103"/>
        <v>4.615732126696833</v>
      </c>
      <c r="AK84" s="7">
        <f t="shared" si="116"/>
        <v>104.65195391723881</v>
      </c>
      <c r="AL84" s="7"/>
      <c r="AM84" s="7"/>
      <c r="AO84" s="18"/>
      <c r="AP84" s="4">
        <f t="shared" si="57"/>
        <v>40675</v>
      </c>
      <c r="AQ84" s="36">
        <v>0.76597222222222217</v>
      </c>
      <c r="AR84">
        <v>2450</v>
      </c>
      <c r="AT84" s="4">
        <v>40676</v>
      </c>
      <c r="AU84" s="36">
        <v>0.40138888888888885</v>
      </c>
      <c r="AV84">
        <v>1550</v>
      </c>
      <c r="AX84" s="45">
        <f t="shared" si="80"/>
        <v>1416.3934426229507</v>
      </c>
      <c r="AY84" s="45">
        <f t="shared" si="81"/>
        <v>0</v>
      </c>
      <c r="AZ84" s="7">
        <f t="shared" si="82"/>
        <v>1416.3934426229507</v>
      </c>
      <c r="BA84" s="18">
        <f t="shared" si="83"/>
        <v>1</v>
      </c>
      <c r="BB84" s="6">
        <f t="shared" si="84"/>
        <v>15.25</v>
      </c>
      <c r="BI84" s="91"/>
      <c r="BJ84" s="27"/>
      <c r="BK84" s="21"/>
      <c r="BL84" s="12">
        <v>40675</v>
      </c>
      <c r="BM84" s="72">
        <f t="shared" si="85"/>
        <v>0</v>
      </c>
      <c r="BN84" s="24">
        <f t="shared" si="104"/>
        <v>1</v>
      </c>
      <c r="BO84" s="21">
        <f t="shared" si="105"/>
        <v>38</v>
      </c>
      <c r="BP84" s="5">
        <v>0</v>
      </c>
      <c r="BQ84" s="7">
        <f t="shared" si="63"/>
        <v>1416.3934426229507</v>
      </c>
      <c r="BR84" s="7"/>
      <c r="BS84" s="7">
        <f t="shared" si="64"/>
        <v>1416.3934426229507</v>
      </c>
      <c r="BT84">
        <f t="shared" si="59"/>
        <v>3.2</v>
      </c>
      <c r="BU84">
        <f t="shared" si="67"/>
        <v>4</v>
      </c>
      <c r="BV84" s="6">
        <f t="shared" si="86"/>
        <v>5.665573770491803</v>
      </c>
      <c r="BW84" s="6">
        <f t="shared" si="87"/>
        <v>0</v>
      </c>
      <c r="BX84" s="5">
        <f t="shared" si="88"/>
        <v>5.665573770491803</v>
      </c>
      <c r="BY84" s="5">
        <f t="shared" si="89"/>
        <v>1.7704918032786883</v>
      </c>
      <c r="BZ84" s="5">
        <f t="shared" si="90"/>
        <v>1.7704918032786883</v>
      </c>
      <c r="CA84" s="5">
        <f t="shared" si="91"/>
        <v>5.665573770491803</v>
      </c>
      <c r="CB84" s="7">
        <f t="shared" si="106"/>
        <v>99.874096059734256</v>
      </c>
      <c r="CC84" s="5">
        <f t="shared" si="107"/>
        <v>1.3180656543320519</v>
      </c>
      <c r="CD84" s="7">
        <f t="shared" si="73"/>
        <v>46</v>
      </c>
      <c r="CE84" s="5">
        <f t="shared" si="108"/>
        <v>18.607782016348771</v>
      </c>
      <c r="CF84" s="5">
        <f t="shared" si="109"/>
        <v>168.76966507844986</v>
      </c>
      <c r="CG84">
        <f t="shared" si="74"/>
        <v>46</v>
      </c>
      <c r="CH84" s="5">
        <f t="shared" si="110"/>
        <v>8.4279423433242506</v>
      </c>
      <c r="CI84" s="5">
        <f t="shared" si="111"/>
        <v>117.89314920173953</v>
      </c>
      <c r="CJ84" s="5">
        <f t="shared" si="112"/>
        <v>2.2078677402305611</v>
      </c>
      <c r="CK84" s="5">
        <f t="shared" si="113"/>
        <v>1.4315476872167534</v>
      </c>
      <c r="CL84" s="5"/>
      <c r="CM84" s="5"/>
      <c r="CN84" s="5"/>
      <c r="CO84" s="51"/>
      <c r="CQ84" s="51">
        <f t="shared" si="50"/>
        <v>2.3115315760368667</v>
      </c>
      <c r="CR84" s="23">
        <v>143.31495771428573</v>
      </c>
      <c r="CS84" t="s">
        <v>183</v>
      </c>
      <c r="CT84" s="4">
        <v>40725</v>
      </c>
      <c r="CU84" s="7">
        <f t="shared" si="51"/>
        <v>2311.5315760368667</v>
      </c>
      <c r="CV84">
        <f t="shared" si="52"/>
        <v>1</v>
      </c>
      <c r="CW84">
        <f t="shared" si="53"/>
        <v>87</v>
      </c>
      <c r="CX84" s="7">
        <f t="shared" si="55"/>
        <v>4034.1047503045065</v>
      </c>
      <c r="CY84" s="5">
        <f t="shared" si="54"/>
        <v>9.324960511369186</v>
      </c>
      <c r="DA84" s="5"/>
      <c r="DB84" s="126"/>
      <c r="DC84" s="127"/>
      <c r="DD84" s="129"/>
      <c r="DE84" s="17"/>
      <c r="DF84" s="128"/>
      <c r="DG84" s="128"/>
      <c r="DH84" s="87"/>
      <c r="DI84" s="17"/>
      <c r="DJ84" s="128"/>
      <c r="DK84" s="87"/>
      <c r="DL84" s="17"/>
      <c r="DM84" s="87"/>
      <c r="DN84" s="87"/>
      <c r="DO84" s="87"/>
      <c r="DP84" s="87"/>
      <c r="DQ84" s="17"/>
      <c r="DR84" s="17"/>
      <c r="DU84" s="5"/>
      <c r="DV84" s="7"/>
      <c r="DX84" s="7"/>
      <c r="DY84" s="7"/>
      <c r="DZ84" s="5"/>
    </row>
    <row r="85" spans="1:130">
      <c r="D85" s="7"/>
      <c r="F85" s="3"/>
      <c r="G85" s="39"/>
      <c r="H85" s="35"/>
      <c r="I85" s="4"/>
      <c r="J85" s="5">
        <v>1.4541499999999998</v>
      </c>
      <c r="K85" s="76">
        <f>+J85*1000</f>
        <v>1454.1499999999999</v>
      </c>
      <c r="L85" s="107">
        <v>40682</v>
      </c>
      <c r="M85" s="76">
        <v>1454.1499999999999</v>
      </c>
      <c r="N85" s="104">
        <v>40682</v>
      </c>
      <c r="O85" s="81">
        <v>40682</v>
      </c>
      <c r="P85" s="23">
        <v>1454.1499999999999</v>
      </c>
      <c r="Q85" s="24">
        <f t="shared" si="92"/>
        <v>1</v>
      </c>
      <c r="R85" s="114">
        <f t="shared" si="93"/>
        <v>45</v>
      </c>
      <c r="S85" s="39">
        <f t="shared" si="75"/>
        <v>1.4541499999999998</v>
      </c>
      <c r="T85" s="5">
        <f t="shared" si="76"/>
        <v>26.174699999999998</v>
      </c>
      <c r="U85" s="7">
        <f t="shared" si="77"/>
        <v>1058.8235294117644</v>
      </c>
      <c r="V85">
        <f t="shared" si="114"/>
        <v>3.2</v>
      </c>
      <c r="W85" s="77">
        <v>6</v>
      </c>
      <c r="X85" s="6">
        <f t="shared" si="94"/>
        <v>6.3529411764705861</v>
      </c>
      <c r="Y85" s="6">
        <f t="shared" si="95"/>
        <v>1.539688235294117</v>
      </c>
      <c r="Z85" s="5">
        <f t="shared" si="115"/>
        <v>4.8132529411764686</v>
      </c>
      <c r="AA85" s="113">
        <f t="shared" si="78"/>
        <v>1.5041415441176464</v>
      </c>
      <c r="AB85" s="5">
        <f t="shared" si="96"/>
        <v>1.5041415441176464</v>
      </c>
      <c r="AC85" s="80">
        <f t="shared" si="97"/>
        <v>6.3529411764705861</v>
      </c>
      <c r="AD85" s="5">
        <f t="shared" si="98"/>
        <v>2.8063893922651926</v>
      </c>
      <c r="AE85" s="5">
        <f t="shared" si="99"/>
        <v>4.6532799999999996</v>
      </c>
      <c r="AF85" s="5">
        <f t="shared" si="100"/>
        <v>1.5396882352941172</v>
      </c>
      <c r="AG85" s="7">
        <f t="shared" si="79"/>
        <v>2806.3893922651928</v>
      </c>
      <c r="AH85" s="5">
        <f t="shared" si="101"/>
        <v>4.8132529411764686</v>
      </c>
      <c r="AI85" s="7">
        <f t="shared" si="102"/>
        <v>1504.1415441176464</v>
      </c>
      <c r="AJ85" s="6">
        <f t="shared" si="103"/>
        <v>4.8132529411764686</v>
      </c>
      <c r="AK85" s="7">
        <f t="shared" si="116"/>
        <v>109.46520685841529</v>
      </c>
      <c r="AL85" s="7"/>
      <c r="AM85" s="7"/>
      <c r="AO85" s="18"/>
      <c r="AP85" s="4">
        <f t="shared" si="57"/>
        <v>40676</v>
      </c>
      <c r="AQ85" s="36">
        <v>0.82291666666666663</v>
      </c>
      <c r="AR85">
        <v>2950</v>
      </c>
      <c r="AT85" s="4">
        <v>40677</v>
      </c>
      <c r="AU85" s="36">
        <v>0.38194444444444442</v>
      </c>
      <c r="AV85">
        <v>2300</v>
      </c>
      <c r="AX85" s="45">
        <f t="shared" si="80"/>
        <v>1162.7329192546586</v>
      </c>
      <c r="AY85" s="45">
        <f t="shared" si="81"/>
        <v>0</v>
      </c>
      <c r="AZ85" s="7">
        <f t="shared" si="82"/>
        <v>1162.7329192546586</v>
      </c>
      <c r="BA85" s="18">
        <f t="shared" si="83"/>
        <v>1</v>
      </c>
      <c r="BB85" s="6">
        <f t="shared" si="84"/>
        <v>13.416666666666664</v>
      </c>
      <c r="BI85" s="91"/>
      <c r="BJ85" s="99">
        <v>1.3340000000000001</v>
      </c>
      <c r="BK85" s="94">
        <v>40676</v>
      </c>
      <c r="BL85" s="12">
        <v>40676</v>
      </c>
      <c r="BM85" s="72">
        <f t="shared" si="85"/>
        <v>29</v>
      </c>
      <c r="BN85" s="24">
        <f t="shared" si="104"/>
        <v>1</v>
      </c>
      <c r="BO85" s="21">
        <f t="shared" si="105"/>
        <v>39</v>
      </c>
      <c r="BP85" s="5">
        <f>+BJ85</f>
        <v>1.3340000000000001</v>
      </c>
      <c r="BQ85" s="7">
        <f t="shared" si="63"/>
        <v>1162.7329192546586</v>
      </c>
      <c r="BR85" s="7"/>
      <c r="BS85" s="7">
        <f t="shared" si="64"/>
        <v>1162.7329192546586</v>
      </c>
      <c r="BT85">
        <f t="shared" si="59"/>
        <v>3.2</v>
      </c>
      <c r="BU85">
        <f t="shared" si="67"/>
        <v>4</v>
      </c>
      <c r="BV85" s="6">
        <f t="shared" si="86"/>
        <v>4.650931677018634</v>
      </c>
      <c r="BW85" s="6">
        <f t="shared" si="87"/>
        <v>3.37192546583851E-2</v>
      </c>
      <c r="BX85" s="5">
        <f t="shared" si="88"/>
        <v>4.6172124223602484</v>
      </c>
      <c r="BY85" s="5">
        <f t="shared" si="89"/>
        <v>1.4428788819875775</v>
      </c>
      <c r="BZ85" s="5">
        <f t="shared" si="90"/>
        <v>1.4428788819875777</v>
      </c>
      <c r="CA85" s="5">
        <f t="shared" si="91"/>
        <v>4.650931677018634</v>
      </c>
      <c r="CB85" s="7">
        <f t="shared" si="106"/>
        <v>104.52502773675289</v>
      </c>
      <c r="CC85" s="5">
        <f t="shared" si="107"/>
        <v>1.3794452667238053</v>
      </c>
      <c r="CD85" s="7">
        <f t="shared" si="73"/>
        <v>47</v>
      </c>
      <c r="CE85" s="5">
        <f t="shared" si="108"/>
        <v>17.239436619718312</v>
      </c>
      <c r="CF85" s="5">
        <f t="shared" si="109"/>
        <v>186.00910169816817</v>
      </c>
      <c r="CG85">
        <f t="shared" si="74"/>
        <v>47</v>
      </c>
      <c r="CH85" s="5">
        <f t="shared" si="110"/>
        <v>7.9301408450704232</v>
      </c>
      <c r="CI85" s="5">
        <f t="shared" si="111"/>
        <v>125.82329004680996</v>
      </c>
      <c r="CJ85" s="5">
        <f t="shared" si="112"/>
        <v>2.1739130434782608</v>
      </c>
      <c r="CK85" s="5">
        <f t="shared" si="113"/>
        <v>1.4783360189434509</v>
      </c>
      <c r="CL85" s="5"/>
      <c r="CM85" s="5"/>
      <c r="CN85" s="5"/>
      <c r="CO85" s="51"/>
      <c r="CQ85" s="51">
        <f t="shared" si="50"/>
        <v>2.3671898986175113</v>
      </c>
      <c r="CR85" s="23">
        <v>146.7657737142857</v>
      </c>
      <c r="CS85" t="s">
        <v>184</v>
      </c>
      <c r="CT85" s="4">
        <v>40728</v>
      </c>
      <c r="CU85" s="7">
        <f t="shared" si="51"/>
        <v>2367.1898986175111</v>
      </c>
      <c r="CV85">
        <f t="shared" si="52"/>
        <v>3</v>
      </c>
      <c r="CW85">
        <f t="shared" si="53"/>
        <v>90</v>
      </c>
      <c r="CX85" s="7">
        <f t="shared" si="55"/>
        <v>3896.4705882352946</v>
      </c>
      <c r="CY85" s="5">
        <f t="shared" si="54"/>
        <v>9.2236858167308213</v>
      </c>
      <c r="DA85" s="5"/>
      <c r="DB85" s="126"/>
      <c r="DC85" s="127"/>
      <c r="DD85" s="129"/>
      <c r="DE85" s="17"/>
      <c r="DF85" s="128"/>
      <c r="DG85" s="128"/>
      <c r="DH85" s="87"/>
      <c r="DI85" s="17"/>
      <c r="DJ85" s="128"/>
      <c r="DK85" s="87"/>
      <c r="DL85" s="17"/>
      <c r="DM85" s="87"/>
      <c r="DN85" s="87"/>
      <c r="DO85" s="87"/>
      <c r="DP85" s="87"/>
      <c r="DQ85" s="17"/>
      <c r="DR85" s="17"/>
      <c r="DU85" s="5"/>
      <c r="DV85" s="7"/>
      <c r="DX85" s="7"/>
      <c r="DY85" s="7"/>
      <c r="DZ85" s="5"/>
    </row>
    <row r="86" spans="1:130">
      <c r="D86" s="7"/>
      <c r="F86" s="19"/>
      <c r="G86" s="39"/>
      <c r="H86" s="35"/>
      <c r="I86" s="4"/>
      <c r="J86" s="5">
        <v>1.4779899999999999</v>
      </c>
      <c r="K86" s="76">
        <f>+J86*1000</f>
        <v>1477.99</v>
      </c>
      <c r="L86" s="107">
        <v>40683</v>
      </c>
      <c r="M86" s="76">
        <v>1477.99</v>
      </c>
      <c r="N86" s="104">
        <v>40683</v>
      </c>
      <c r="O86" s="81">
        <v>40683</v>
      </c>
      <c r="P86" s="23">
        <v>1477.99</v>
      </c>
      <c r="Q86" s="24">
        <f t="shared" si="92"/>
        <v>1</v>
      </c>
      <c r="R86" s="114">
        <f t="shared" si="93"/>
        <v>46</v>
      </c>
      <c r="S86" s="39">
        <f t="shared" si="75"/>
        <v>1.4779899999999999</v>
      </c>
      <c r="T86" s="5">
        <f t="shared" si="76"/>
        <v>26.603819999999999</v>
      </c>
      <c r="U86" s="7">
        <f t="shared" si="77"/>
        <v>1863.7602179836513</v>
      </c>
      <c r="V86">
        <f t="shared" si="114"/>
        <v>3.2</v>
      </c>
      <c r="W86" s="77">
        <v>6</v>
      </c>
      <c r="X86" s="6">
        <f t="shared" si="94"/>
        <v>11.182561307901908</v>
      </c>
      <c r="Y86" s="6">
        <f t="shared" si="95"/>
        <v>2.7546189645776566</v>
      </c>
      <c r="Z86" s="5">
        <f t="shared" si="115"/>
        <v>8.4279423433242506</v>
      </c>
      <c r="AA86" s="113">
        <f t="shared" si="78"/>
        <v>2.6337319822888281</v>
      </c>
      <c r="AB86" s="5">
        <f t="shared" si="96"/>
        <v>2.6337319822888281</v>
      </c>
      <c r="AC86" s="80">
        <f t="shared" si="97"/>
        <v>11.182561307901908</v>
      </c>
      <c r="AD86" s="5">
        <f t="shared" si="98"/>
        <v>3.1272889367197592</v>
      </c>
      <c r="AE86" s="5">
        <f t="shared" si="99"/>
        <v>4.7295680000000004</v>
      </c>
      <c r="AF86" s="5">
        <f t="shared" si="100"/>
        <v>2.7546189645776566</v>
      </c>
      <c r="AG86" s="7">
        <f t="shared" si="79"/>
        <v>3127.288936719759</v>
      </c>
      <c r="AH86" s="5">
        <f t="shared" si="101"/>
        <v>8.4279423433242506</v>
      </c>
      <c r="AI86" s="7">
        <f t="shared" si="102"/>
        <v>2633.731982288828</v>
      </c>
      <c r="AJ86" s="6">
        <f t="shared" si="103"/>
        <v>8.4279423433242506</v>
      </c>
      <c r="AK86" s="7">
        <f t="shared" si="116"/>
        <v>117.89314920173953</v>
      </c>
      <c r="AL86" s="7"/>
      <c r="AM86" s="7"/>
      <c r="AO86" s="18"/>
      <c r="AP86" s="4">
        <f t="shared" ref="AP86:AP117" si="117">+AT85</f>
        <v>40677</v>
      </c>
      <c r="AQ86" s="36">
        <f>+AU85</f>
        <v>0.38194444444444442</v>
      </c>
      <c r="AR86">
        <f>+AV85</f>
        <v>2300</v>
      </c>
      <c r="AT86" s="4">
        <v>40678</v>
      </c>
      <c r="AU86" s="36">
        <v>0.4201388888888889</v>
      </c>
      <c r="AV86">
        <v>800</v>
      </c>
      <c r="AX86" s="45">
        <f t="shared" si="80"/>
        <v>1444.8160535117056</v>
      </c>
      <c r="AY86" s="45">
        <f t="shared" si="81"/>
        <v>0</v>
      </c>
      <c r="AZ86" s="7">
        <f t="shared" si="82"/>
        <v>1444.8160535117056</v>
      </c>
      <c r="BA86" s="18">
        <f t="shared" si="83"/>
        <v>1</v>
      </c>
      <c r="BB86" s="6">
        <f t="shared" si="84"/>
        <v>24.916666666666668</v>
      </c>
      <c r="BI86" s="91"/>
      <c r="BJ86" s="99">
        <v>0</v>
      </c>
      <c r="BK86" s="94">
        <v>40677</v>
      </c>
      <c r="BL86" s="12">
        <v>40677</v>
      </c>
      <c r="BM86" s="72">
        <f t="shared" si="85"/>
        <v>0</v>
      </c>
      <c r="BN86" s="24">
        <f t="shared" si="104"/>
        <v>1</v>
      </c>
      <c r="BO86" s="21">
        <f t="shared" si="105"/>
        <v>40</v>
      </c>
      <c r="BP86" s="5">
        <v>0</v>
      </c>
      <c r="BQ86" s="7">
        <f t="shared" si="63"/>
        <v>1444.8160535117056</v>
      </c>
      <c r="BR86" s="7"/>
      <c r="BS86" s="7">
        <f t="shared" si="64"/>
        <v>1444.8160535117056</v>
      </c>
      <c r="BT86">
        <f t="shared" si="59"/>
        <v>3.2</v>
      </c>
      <c r="BU86">
        <f t="shared" si="67"/>
        <v>4</v>
      </c>
      <c r="BV86" s="6">
        <f t="shared" si="86"/>
        <v>5.7792642140468224</v>
      </c>
      <c r="BW86" s="6">
        <f t="shared" si="87"/>
        <v>0</v>
      </c>
      <c r="BX86" s="5">
        <f t="shared" si="88"/>
        <v>5.7792642140468224</v>
      </c>
      <c r="BY86" s="5">
        <f t="shared" si="89"/>
        <v>1.806020066889632</v>
      </c>
      <c r="BZ86" s="5">
        <f t="shared" si="90"/>
        <v>1.806020066889632</v>
      </c>
      <c r="CA86" s="5">
        <f t="shared" si="91"/>
        <v>5.7792642140468224</v>
      </c>
      <c r="CB86" s="7">
        <f t="shared" si="106"/>
        <v>110.30429195079971</v>
      </c>
      <c r="CC86" s="5">
        <f t="shared" si="107"/>
        <v>1.2387570421573137</v>
      </c>
      <c r="CD86" s="7">
        <f t="shared" si="73"/>
        <v>48</v>
      </c>
      <c r="CE86" s="5">
        <f t="shared" si="108"/>
        <v>16.119402985074622</v>
      </c>
      <c r="CF86" s="5">
        <f t="shared" si="109"/>
        <v>202.1285046832428</v>
      </c>
      <c r="CG86">
        <f t="shared" si="74"/>
        <v>48</v>
      </c>
      <c r="CH86" s="5">
        <f t="shared" si="110"/>
        <v>14.668656716417907</v>
      </c>
      <c r="CI86" s="5">
        <f t="shared" si="111"/>
        <v>140.49194676322787</v>
      </c>
      <c r="CJ86" s="5">
        <f t="shared" si="112"/>
        <v>1.0989010989010988</v>
      </c>
      <c r="CK86" s="5">
        <f t="shared" si="113"/>
        <v>1.438719509125256</v>
      </c>
      <c r="CL86" s="5"/>
      <c r="CM86" s="5"/>
      <c r="CN86" s="5"/>
      <c r="CO86" s="51"/>
      <c r="CQ86" s="51">
        <f t="shared" si="50"/>
        <v>2.6097011612903218</v>
      </c>
      <c r="CR86" s="23">
        <v>161.80147199999996</v>
      </c>
      <c r="CS86" t="s">
        <v>185</v>
      </c>
      <c r="CT86" s="4">
        <v>40730</v>
      </c>
      <c r="CU86" s="7">
        <f t="shared" si="51"/>
        <v>2609.701161290322</v>
      </c>
      <c r="CV86">
        <f t="shared" si="52"/>
        <v>2</v>
      </c>
      <c r="CW86">
        <f t="shared" si="53"/>
        <v>92</v>
      </c>
      <c r="CX86" s="7">
        <f t="shared" si="55"/>
        <v>3863.4146341463429</v>
      </c>
      <c r="CY86" s="5">
        <f t="shared" si="54"/>
        <v>10.082357657277736</v>
      </c>
      <c r="DA86" s="5"/>
      <c r="DB86" s="126"/>
      <c r="DC86" s="127"/>
      <c r="DD86" s="129"/>
      <c r="DE86" s="17"/>
      <c r="DF86" s="128"/>
      <c r="DG86" s="128"/>
      <c r="DH86" s="87"/>
      <c r="DI86" s="17"/>
      <c r="DJ86" s="128"/>
      <c r="DK86" s="87"/>
      <c r="DL86" s="17"/>
      <c r="DM86" s="87"/>
      <c r="DN86" s="87"/>
      <c r="DO86" s="87"/>
      <c r="DP86" s="87"/>
      <c r="DQ86" s="17"/>
      <c r="DR86" s="17"/>
      <c r="DU86" s="5"/>
      <c r="DV86" s="7"/>
      <c r="DX86" s="7"/>
      <c r="DY86" s="7"/>
      <c r="DZ86" s="5"/>
    </row>
    <row r="87" spans="1:130">
      <c r="D87" s="3"/>
      <c r="F87" s="3"/>
      <c r="G87" s="39"/>
      <c r="I87" s="119" t="s">
        <v>133</v>
      </c>
      <c r="J87" s="5"/>
      <c r="K87" s="76"/>
      <c r="L87" s="107">
        <v>40684</v>
      </c>
      <c r="O87" s="81">
        <v>40684</v>
      </c>
      <c r="P87" s="83">
        <v>1400</v>
      </c>
      <c r="Q87" s="24">
        <f t="shared" si="92"/>
        <v>1</v>
      </c>
      <c r="R87" s="114">
        <f t="shared" si="93"/>
        <v>47</v>
      </c>
      <c r="S87" s="39">
        <f t="shared" si="75"/>
        <v>1.4</v>
      </c>
      <c r="T87" s="5">
        <f t="shared" si="76"/>
        <v>25.2</v>
      </c>
      <c r="U87" s="7">
        <f t="shared" si="77"/>
        <v>1723.943661971831</v>
      </c>
      <c r="V87">
        <f t="shared" si="114"/>
        <v>3.2</v>
      </c>
      <c r="W87" s="77">
        <v>6</v>
      </c>
      <c r="X87" s="6">
        <f t="shared" si="94"/>
        <v>10.343661971830986</v>
      </c>
      <c r="Y87" s="6">
        <f t="shared" si="95"/>
        <v>2.4135211267605632</v>
      </c>
      <c r="Z87" s="5">
        <f t="shared" si="115"/>
        <v>7.9301408450704232</v>
      </c>
      <c r="AA87" s="113">
        <f t="shared" si="78"/>
        <v>2.4781690140845072</v>
      </c>
      <c r="AB87" s="5">
        <f t="shared" si="96"/>
        <v>2.4781690140845067</v>
      </c>
      <c r="AC87" s="80">
        <f t="shared" si="97"/>
        <v>10.343661971830986</v>
      </c>
      <c r="AD87" s="5">
        <f t="shared" si="98"/>
        <v>3.0612108924485124</v>
      </c>
      <c r="AE87" s="5">
        <f t="shared" si="99"/>
        <v>4.4800000000000004</v>
      </c>
      <c r="AF87" s="5">
        <f t="shared" si="100"/>
        <v>2.4135211267605636</v>
      </c>
      <c r="AG87" s="7">
        <f t="shared" si="79"/>
        <v>3061.2108924485124</v>
      </c>
      <c r="AH87" s="5">
        <f t="shared" si="101"/>
        <v>7.9301408450704223</v>
      </c>
      <c r="AI87" s="7">
        <f t="shared" si="102"/>
        <v>2478.1690140845067</v>
      </c>
      <c r="AJ87" s="6">
        <f t="shared" si="103"/>
        <v>7.9301408450704232</v>
      </c>
      <c r="AK87" s="7">
        <f t="shared" si="116"/>
        <v>125.82329004680996</v>
      </c>
      <c r="AL87" s="7"/>
      <c r="AM87" s="7"/>
      <c r="AO87" s="18"/>
      <c r="AP87" s="4">
        <f t="shared" si="117"/>
        <v>40678</v>
      </c>
      <c r="AQ87" s="36">
        <v>0.45833333333333331</v>
      </c>
      <c r="AR87">
        <v>4000</v>
      </c>
      <c r="AT87" s="4">
        <v>40679</v>
      </c>
      <c r="AU87" s="36">
        <v>0.4548611111111111</v>
      </c>
      <c r="AV87">
        <v>2900</v>
      </c>
      <c r="AX87" s="45">
        <f t="shared" si="80"/>
        <v>1103.8327526132405</v>
      </c>
      <c r="AY87" s="45">
        <f t="shared" si="81"/>
        <v>0</v>
      </c>
      <c r="AZ87" s="7">
        <f t="shared" si="82"/>
        <v>1103.8327526132405</v>
      </c>
      <c r="BA87" s="18">
        <f t="shared" si="83"/>
        <v>1</v>
      </c>
      <c r="BB87" s="6">
        <f t="shared" si="84"/>
        <v>23.916666666666664</v>
      </c>
      <c r="BI87" s="91"/>
      <c r="BJ87" s="99">
        <v>0</v>
      </c>
      <c r="BK87" s="94">
        <v>40678</v>
      </c>
      <c r="BL87" s="12">
        <v>40678</v>
      </c>
      <c r="BM87" s="72">
        <f t="shared" si="85"/>
        <v>0</v>
      </c>
      <c r="BN87" s="24">
        <f t="shared" si="104"/>
        <v>1</v>
      </c>
      <c r="BO87" s="21">
        <f t="shared" si="105"/>
        <v>41</v>
      </c>
      <c r="BP87" s="5">
        <v>0</v>
      </c>
      <c r="BQ87" s="7">
        <f t="shared" si="63"/>
        <v>1103.8327526132405</v>
      </c>
      <c r="BR87" s="7"/>
      <c r="BS87" s="7">
        <f t="shared" si="64"/>
        <v>1103.8327526132405</v>
      </c>
      <c r="BT87">
        <f t="shared" si="59"/>
        <v>3.2</v>
      </c>
      <c r="BU87">
        <v>6</v>
      </c>
      <c r="BV87" s="6">
        <f t="shared" si="86"/>
        <v>6.6229965156794428</v>
      </c>
      <c r="BW87" s="6">
        <f t="shared" si="87"/>
        <v>0</v>
      </c>
      <c r="BX87" s="5">
        <f t="shared" si="88"/>
        <v>6.6229965156794428</v>
      </c>
      <c r="BY87" s="5">
        <f t="shared" si="89"/>
        <v>2.0696864111498257</v>
      </c>
      <c r="BZ87" s="5">
        <f t="shared" si="90"/>
        <v>2.0696864111498257</v>
      </c>
      <c r="CA87" s="5">
        <f t="shared" si="91"/>
        <v>6.6229965156794428</v>
      </c>
      <c r="CB87" s="7">
        <f t="shared" si="106"/>
        <v>116.92728846647915</v>
      </c>
      <c r="CC87" s="5">
        <f t="shared" si="107"/>
        <v>1.2442512091404612</v>
      </c>
      <c r="CD87" s="7">
        <f t="shared" si="73"/>
        <v>49</v>
      </c>
      <c r="CE87" s="5">
        <f t="shared" si="108"/>
        <v>27.95640326975477</v>
      </c>
      <c r="CF87" s="5">
        <f t="shared" si="109"/>
        <v>230.08490795299755</v>
      </c>
      <c r="CG87">
        <f t="shared" si="74"/>
        <v>49</v>
      </c>
      <c r="CH87" s="5">
        <f t="shared" si="110"/>
        <v>13.012850659630606</v>
      </c>
      <c r="CI87" s="5">
        <f t="shared" si="111"/>
        <v>153.50479742285847</v>
      </c>
      <c r="CJ87" s="5">
        <f t="shared" si="112"/>
        <v>2.1483688702032921</v>
      </c>
      <c r="CK87" s="5">
        <f t="shared" si="113"/>
        <v>1.498877636502685</v>
      </c>
      <c r="CL87" s="5"/>
      <c r="CM87" s="5"/>
      <c r="CN87" s="5"/>
      <c r="CO87" s="51"/>
      <c r="CQ87" s="51">
        <f t="shared" si="50"/>
        <v>2.5619940276497695</v>
      </c>
      <c r="CR87" s="23">
        <v>158.8436297142857</v>
      </c>
      <c r="CS87" t="s">
        <v>186</v>
      </c>
      <c r="CT87" s="4">
        <v>40731</v>
      </c>
      <c r="CU87" s="7">
        <f t="shared" si="51"/>
        <v>2561.9940276497696</v>
      </c>
      <c r="CV87">
        <f t="shared" si="52"/>
        <v>1</v>
      </c>
      <c r="CW87">
        <f t="shared" si="53"/>
        <v>93</v>
      </c>
      <c r="CX87" s="7">
        <f t="shared" si="55"/>
        <v>3876.9230769230771</v>
      </c>
      <c r="CY87" s="5">
        <f t="shared" si="54"/>
        <v>9.9326537687344914</v>
      </c>
      <c r="DA87" s="5"/>
      <c r="DB87" s="126"/>
      <c r="DC87" s="127"/>
      <c r="DD87" s="129"/>
      <c r="DE87" s="17"/>
      <c r="DF87" s="128"/>
      <c r="DG87" s="128"/>
      <c r="DH87" s="87"/>
      <c r="DI87" s="17"/>
      <c r="DJ87" s="128"/>
      <c r="DK87" s="87"/>
      <c r="DL87" s="17"/>
      <c r="DM87" s="87"/>
      <c r="DN87" s="87"/>
      <c r="DO87" s="87"/>
      <c r="DP87" s="87"/>
      <c r="DQ87" s="17"/>
      <c r="DR87" s="17"/>
      <c r="DU87" s="5"/>
      <c r="DV87" s="7"/>
      <c r="DX87" s="7"/>
      <c r="DY87" s="7"/>
      <c r="DZ87" s="5"/>
    </row>
    <row r="88" spans="1:130">
      <c r="E88" s="7"/>
      <c r="F88" s="35"/>
      <c r="G88" s="4"/>
      <c r="H88" s="23"/>
      <c r="I88" s="41"/>
      <c r="J88" s="5"/>
      <c r="K88" s="76"/>
      <c r="L88" s="107">
        <v>40685</v>
      </c>
      <c r="O88" s="81">
        <v>40685</v>
      </c>
      <c r="P88" s="83">
        <v>1350</v>
      </c>
      <c r="Q88" s="24">
        <f t="shared" si="92"/>
        <v>1</v>
      </c>
      <c r="R88" s="114">
        <f t="shared" si="93"/>
        <v>48</v>
      </c>
      <c r="S88" s="39">
        <f t="shared" si="75"/>
        <v>1.35</v>
      </c>
      <c r="T88" s="5">
        <f t="shared" si="76"/>
        <v>24.3</v>
      </c>
      <c r="U88" s="7">
        <f t="shared" si="77"/>
        <v>1074.6268656716416</v>
      </c>
      <c r="V88">
        <f t="shared" si="114"/>
        <v>3.2</v>
      </c>
      <c r="W88" s="77">
        <v>15</v>
      </c>
      <c r="X88" s="6">
        <f t="shared" si="94"/>
        <v>16.119402985074622</v>
      </c>
      <c r="Y88" s="6">
        <f t="shared" si="95"/>
        <v>1.4507462686567161</v>
      </c>
      <c r="Z88" s="5">
        <f t="shared" si="115"/>
        <v>14.668656716417907</v>
      </c>
      <c r="AA88" s="113">
        <f t="shared" si="78"/>
        <v>4.5839552238805954</v>
      </c>
      <c r="AB88" s="5">
        <f t="shared" si="96"/>
        <v>4.5839552238805954</v>
      </c>
      <c r="AC88" s="80">
        <f t="shared" si="97"/>
        <v>16.119402985074622</v>
      </c>
      <c r="AD88" s="5">
        <f t="shared" si="98"/>
        <v>4.8189944134078209</v>
      </c>
      <c r="AE88" s="5">
        <f t="shared" si="99"/>
        <v>4.32</v>
      </c>
      <c r="AF88" s="5">
        <f t="shared" si="100"/>
        <v>1.4507462686567163</v>
      </c>
      <c r="AG88" s="7">
        <f t="shared" si="79"/>
        <v>4818.9944134078205</v>
      </c>
      <c r="AH88" s="5">
        <f t="shared" si="101"/>
        <v>14.668656716417905</v>
      </c>
      <c r="AI88" s="7">
        <f t="shared" si="102"/>
        <v>4583.9552238805954</v>
      </c>
      <c r="AJ88" s="6">
        <f t="shared" si="103"/>
        <v>14.668656716417907</v>
      </c>
      <c r="AK88" s="7">
        <f t="shared" si="116"/>
        <v>140.49194676322787</v>
      </c>
      <c r="AL88" s="7"/>
      <c r="AM88" s="7"/>
      <c r="AO88" s="18"/>
      <c r="AP88" s="4">
        <f t="shared" si="117"/>
        <v>40679</v>
      </c>
      <c r="AQ88" s="36">
        <v>0.84027777777777779</v>
      </c>
      <c r="AR88">
        <v>4000</v>
      </c>
      <c r="AT88" s="4">
        <v>40680</v>
      </c>
      <c r="AU88" s="36">
        <v>0.4375</v>
      </c>
      <c r="AV88">
        <v>3700</v>
      </c>
      <c r="AX88" s="45">
        <f t="shared" si="80"/>
        <v>502.32558139534876</v>
      </c>
      <c r="AY88" s="45">
        <f t="shared" si="81"/>
        <v>0</v>
      </c>
      <c r="AZ88" s="7">
        <f t="shared" si="82"/>
        <v>502.32558139534876</v>
      </c>
      <c r="BA88" s="18">
        <f t="shared" si="83"/>
        <v>1</v>
      </c>
      <c r="BB88" s="6">
        <f t="shared" si="84"/>
        <v>14.333333333333334</v>
      </c>
      <c r="BI88" s="91"/>
      <c r="BJ88" s="99">
        <v>0.874</v>
      </c>
      <c r="BK88" s="94">
        <v>40679</v>
      </c>
      <c r="BL88" s="12">
        <v>40679</v>
      </c>
      <c r="BM88" s="72">
        <f t="shared" si="85"/>
        <v>19</v>
      </c>
      <c r="BN88" s="24">
        <f t="shared" si="104"/>
        <v>1</v>
      </c>
      <c r="BO88" s="21">
        <f t="shared" si="105"/>
        <v>42</v>
      </c>
      <c r="BP88" s="5">
        <f>+BJ88</f>
        <v>0.874</v>
      </c>
      <c r="BQ88" s="7">
        <f t="shared" si="63"/>
        <v>502.32558139534876</v>
      </c>
      <c r="BR88" s="7"/>
      <c r="BS88" s="7">
        <f t="shared" si="64"/>
        <v>502.32558139534876</v>
      </c>
      <c r="BT88">
        <f t="shared" si="59"/>
        <v>3.2</v>
      </c>
      <c r="BU88">
        <f>+BU87</f>
        <v>6</v>
      </c>
      <c r="BV88" s="6">
        <f t="shared" si="86"/>
        <v>3.0139534883720924</v>
      </c>
      <c r="BW88" s="6">
        <f t="shared" si="87"/>
        <v>9.5441860465116258E-3</v>
      </c>
      <c r="BX88" s="5">
        <f t="shared" si="88"/>
        <v>3.0044093023255809</v>
      </c>
      <c r="BY88" s="5">
        <f t="shared" si="89"/>
        <v>0.938877906976744</v>
      </c>
      <c r="BZ88" s="5">
        <f t="shared" si="90"/>
        <v>0.938877906976744</v>
      </c>
      <c r="CA88" s="5">
        <f t="shared" si="91"/>
        <v>3.0139534883720924</v>
      </c>
      <c r="CB88" s="7">
        <f t="shared" si="106"/>
        <v>119.94124195485125</v>
      </c>
      <c r="CC88" s="5">
        <f t="shared" si="107"/>
        <v>1.2454619959262514</v>
      </c>
      <c r="CD88" s="7">
        <f t="shared" si="73"/>
        <v>50</v>
      </c>
      <c r="CE88" s="5">
        <f t="shared" si="108"/>
        <v>17.802197802197799</v>
      </c>
      <c r="CF88" s="5">
        <f t="shared" si="109"/>
        <v>247.88710575519536</v>
      </c>
      <c r="CG88">
        <f t="shared" si="74"/>
        <v>50</v>
      </c>
      <c r="CH88" s="5">
        <f t="shared" si="110"/>
        <v>15.840573626373624</v>
      </c>
      <c r="CI88" s="5">
        <f t="shared" si="111"/>
        <v>169.34537104923209</v>
      </c>
      <c r="CJ88" s="5">
        <f t="shared" si="112"/>
        <v>1.1238354255402838</v>
      </c>
      <c r="CK88" s="5">
        <f t="shared" si="113"/>
        <v>1.4637961712170426</v>
      </c>
      <c r="CL88" s="5"/>
      <c r="CM88" s="5"/>
      <c r="CN88" s="5"/>
      <c r="CO88" s="51"/>
      <c r="CQ88" s="51">
        <f t="shared" si="50"/>
        <v>2.2823772165898619</v>
      </c>
      <c r="CR88" s="23">
        <v>141.50738742857143</v>
      </c>
      <c r="CS88" t="s">
        <v>187</v>
      </c>
      <c r="CT88" s="4">
        <v>40733</v>
      </c>
      <c r="CU88" s="7">
        <f t="shared" si="51"/>
        <v>2282.3772165898617</v>
      </c>
      <c r="CV88">
        <f t="shared" si="52"/>
        <v>2</v>
      </c>
      <c r="CW88">
        <f t="shared" si="53"/>
        <v>95</v>
      </c>
      <c r="CX88" s="7">
        <f t="shared" si="55"/>
        <v>3900</v>
      </c>
      <c r="CY88" s="5">
        <f t="shared" si="54"/>
        <v>8.9012711447004609</v>
      </c>
      <c r="DA88" s="5"/>
      <c r="DB88" s="126"/>
      <c r="DC88" s="127"/>
      <c r="DD88" s="129"/>
      <c r="DE88" s="17"/>
      <c r="DF88" s="128"/>
      <c r="DG88" s="128"/>
      <c r="DH88" s="87"/>
      <c r="DI88" s="17"/>
      <c r="DJ88" s="128"/>
      <c r="DK88" s="87"/>
      <c r="DL88" s="17"/>
      <c r="DM88" s="87"/>
      <c r="DN88" s="87"/>
      <c r="DO88" s="87"/>
      <c r="DP88" s="87"/>
      <c r="DQ88" s="17"/>
      <c r="DR88" s="17"/>
      <c r="DU88" s="5"/>
      <c r="DV88" s="7"/>
      <c r="DX88" s="7"/>
      <c r="DY88" s="7"/>
      <c r="DZ88" s="5"/>
    </row>
    <row r="89" spans="1:130">
      <c r="F89" s="73"/>
      <c r="G89" s="73"/>
      <c r="H89" s="109"/>
      <c r="I89" s="110"/>
      <c r="J89" s="5">
        <v>1.3003600000000002</v>
      </c>
      <c r="K89" s="76">
        <f t="shared" ref="K89:K110" si="118">+J89*1000</f>
        <v>1300.3600000000001</v>
      </c>
      <c r="L89" s="107">
        <v>40686</v>
      </c>
      <c r="M89" s="76">
        <v>1300.3600000000001</v>
      </c>
      <c r="N89" s="104">
        <v>40686</v>
      </c>
      <c r="O89" s="81">
        <v>40686</v>
      </c>
      <c r="P89" s="23">
        <v>1300.3600000000001</v>
      </c>
      <c r="Q89" s="24">
        <f t="shared" si="92"/>
        <v>1</v>
      </c>
      <c r="R89" s="114">
        <f t="shared" si="93"/>
        <v>49</v>
      </c>
      <c r="S89" s="39">
        <f t="shared" si="75"/>
        <v>1.3003600000000002</v>
      </c>
      <c r="T89" s="5">
        <f t="shared" si="76"/>
        <v>23.406480000000002</v>
      </c>
      <c r="U89" s="7">
        <f t="shared" si="77"/>
        <v>949.86807387862791</v>
      </c>
      <c r="V89">
        <f t="shared" si="114"/>
        <v>3.2</v>
      </c>
      <c r="W89" s="77">
        <f>+W88</f>
        <v>15</v>
      </c>
      <c r="X89" s="6">
        <f t="shared" si="94"/>
        <v>14.248021108179419</v>
      </c>
      <c r="Y89" s="6">
        <f t="shared" si="95"/>
        <v>1.2351704485488126</v>
      </c>
      <c r="Z89" s="5">
        <f t="shared" si="115"/>
        <v>13.012850659630606</v>
      </c>
      <c r="AA89" s="113">
        <f t="shared" si="78"/>
        <v>4.0665158311345646</v>
      </c>
      <c r="AB89" s="5">
        <f t="shared" si="96"/>
        <v>4.0665158311345646</v>
      </c>
      <c r="AC89" s="80">
        <f t="shared" si="97"/>
        <v>14.248021108179419</v>
      </c>
      <c r="AD89" s="5">
        <f t="shared" si="98"/>
        <v>4.4743641912512713</v>
      </c>
      <c r="AE89" s="5">
        <f t="shared" si="99"/>
        <v>4.1611520000000013</v>
      </c>
      <c r="AF89" s="5">
        <f t="shared" si="100"/>
        <v>1.2351704485488129</v>
      </c>
      <c r="AG89" s="7">
        <f t="shared" si="79"/>
        <v>4474.3641912512712</v>
      </c>
      <c r="AH89" s="5">
        <f t="shared" si="101"/>
        <v>13.012850659630606</v>
      </c>
      <c r="AI89" s="7">
        <f t="shared" si="102"/>
        <v>4066.5158311345645</v>
      </c>
      <c r="AJ89" s="6">
        <f t="shared" si="103"/>
        <v>13.012850659630606</v>
      </c>
      <c r="AK89" s="7">
        <f t="shared" si="116"/>
        <v>153.50479742285847</v>
      </c>
      <c r="AL89" s="7"/>
      <c r="AM89" s="7"/>
      <c r="AO89" s="18"/>
      <c r="AP89" s="4">
        <f t="shared" si="117"/>
        <v>40680</v>
      </c>
      <c r="AQ89" s="36">
        <f>+AU88</f>
        <v>0.4375</v>
      </c>
      <c r="AR89">
        <f>+AV88</f>
        <v>3700</v>
      </c>
      <c r="AT89" s="4">
        <v>40681</v>
      </c>
      <c r="AU89" s="36">
        <v>0.40972222222222227</v>
      </c>
      <c r="AV89">
        <v>2850</v>
      </c>
      <c r="AX89" s="45">
        <f t="shared" si="80"/>
        <v>874.28571428571422</v>
      </c>
      <c r="AY89" s="45">
        <f t="shared" si="81"/>
        <v>0</v>
      </c>
      <c r="AZ89" s="7">
        <f t="shared" si="82"/>
        <v>874.28571428571422</v>
      </c>
      <c r="BA89" s="18">
        <f t="shared" si="83"/>
        <v>1</v>
      </c>
      <c r="BB89" s="6">
        <f t="shared" si="84"/>
        <v>23.333333333333336</v>
      </c>
      <c r="BI89" s="91"/>
      <c r="BJ89" s="99">
        <v>1.288</v>
      </c>
      <c r="BK89" s="94">
        <v>40680</v>
      </c>
      <c r="BL89" s="12">
        <v>40680</v>
      </c>
      <c r="BM89" s="72">
        <f t="shared" si="85"/>
        <v>28</v>
      </c>
      <c r="BN89" s="24">
        <f t="shared" si="104"/>
        <v>1</v>
      </c>
      <c r="BO89" s="21">
        <f t="shared" si="105"/>
        <v>43</v>
      </c>
      <c r="BP89" s="5">
        <f>+BJ89</f>
        <v>1.288</v>
      </c>
      <c r="BQ89" s="7">
        <f t="shared" si="63"/>
        <v>874.28571428571422</v>
      </c>
      <c r="BR89" s="7"/>
      <c r="BS89" s="7">
        <f t="shared" si="64"/>
        <v>874.28571428571422</v>
      </c>
      <c r="BT89">
        <f t="shared" si="59"/>
        <v>3.2</v>
      </c>
      <c r="BU89">
        <v>10</v>
      </c>
      <c r="BV89" s="6">
        <f t="shared" si="86"/>
        <v>8.742857142857142</v>
      </c>
      <c r="BW89" s="6">
        <f t="shared" si="87"/>
        <v>2.4479999999999998E-2</v>
      </c>
      <c r="BX89" s="5">
        <f t="shared" si="88"/>
        <v>8.7183771428571415</v>
      </c>
      <c r="BY89" s="5">
        <f t="shared" si="89"/>
        <v>2.7244928571428564</v>
      </c>
      <c r="BZ89" s="5">
        <f t="shared" si="90"/>
        <v>2.7244928571428564</v>
      </c>
      <c r="CA89" s="5">
        <f t="shared" si="91"/>
        <v>8.742857142857142</v>
      </c>
      <c r="CB89" s="7">
        <f t="shared" si="106"/>
        <v>128.68409909770838</v>
      </c>
      <c r="CC89" s="5">
        <f t="shared" si="107"/>
        <v>1.2863750429034591</v>
      </c>
      <c r="CD89" s="7">
        <v>52</v>
      </c>
      <c r="CE89" s="5">
        <f t="shared" si="108"/>
        <v>14.701223322565268</v>
      </c>
      <c r="CF89" s="5">
        <f t="shared" si="109"/>
        <v>284.82300105854847</v>
      </c>
      <c r="CG89">
        <f t="shared" si="74"/>
        <v>52</v>
      </c>
      <c r="CH89" s="5">
        <f t="shared" si="110"/>
        <v>14.032789125456757</v>
      </c>
      <c r="CI89" s="5">
        <f t="shared" si="111"/>
        <v>197.4109493001456</v>
      </c>
      <c r="CJ89" s="5">
        <f t="shared" si="112"/>
        <v>1.0476337377503884</v>
      </c>
      <c r="CK89" s="5">
        <f t="shared" si="113"/>
        <v>1.4427923175907569</v>
      </c>
      <c r="CL89" s="5"/>
      <c r="CM89" s="5"/>
      <c r="CN89" s="5"/>
      <c r="CO89" s="51"/>
      <c r="CQ89" s="51">
        <f t="shared" si="50"/>
        <v>2.3552631152073733</v>
      </c>
      <c r="CR89" s="23">
        <v>146.02631314285713</v>
      </c>
      <c r="CS89" t="s">
        <v>188</v>
      </c>
      <c r="CT89" s="4">
        <v>40740</v>
      </c>
      <c r="CU89" s="7">
        <f t="shared" si="51"/>
        <v>2355.2631152073732</v>
      </c>
      <c r="CV89">
        <f t="shared" si="52"/>
        <v>7</v>
      </c>
      <c r="CW89">
        <f t="shared" si="53"/>
        <v>102</v>
      </c>
      <c r="CX89" s="7">
        <f t="shared" si="55"/>
        <v>3900</v>
      </c>
      <c r="CY89" s="5">
        <f t="shared" si="54"/>
        <v>9.185526149308755</v>
      </c>
      <c r="DA89" s="5"/>
      <c r="DB89" s="126"/>
      <c r="DC89" s="127"/>
      <c r="DD89" s="129"/>
      <c r="DE89" s="17"/>
      <c r="DF89" s="128"/>
      <c r="DG89" s="128"/>
      <c r="DH89" s="87"/>
      <c r="DI89" s="17"/>
      <c r="DJ89" s="128"/>
      <c r="DK89" s="87"/>
      <c r="DL89" s="17"/>
      <c r="DM89" s="87"/>
      <c r="DN89" s="87"/>
      <c r="DO89" s="87"/>
      <c r="DP89" s="87"/>
      <c r="DQ89" s="17"/>
      <c r="DR89" s="17"/>
      <c r="DU89" s="5"/>
      <c r="DV89" s="7"/>
      <c r="DX89" s="7"/>
      <c r="DY89" s="7"/>
      <c r="DZ89" s="5"/>
    </row>
    <row r="90" spans="1:130">
      <c r="E90" s="39"/>
      <c r="F90" s="46"/>
      <c r="G90" s="4"/>
      <c r="H90" s="7"/>
      <c r="I90" s="111"/>
      <c r="J90" s="5">
        <v>1.6528499999999999</v>
      </c>
      <c r="K90" s="76">
        <f t="shared" si="118"/>
        <v>1652.85</v>
      </c>
      <c r="L90" s="107">
        <v>40687</v>
      </c>
      <c r="M90" s="76">
        <v>1652.85</v>
      </c>
      <c r="N90" s="104">
        <v>40687</v>
      </c>
      <c r="O90" s="81">
        <v>40687</v>
      </c>
      <c r="P90" s="23">
        <v>1652.85</v>
      </c>
      <c r="Q90" s="24">
        <f t="shared" si="92"/>
        <v>1</v>
      </c>
      <c r="R90" s="114">
        <f t="shared" si="93"/>
        <v>50</v>
      </c>
      <c r="S90" s="39">
        <f t="shared" si="75"/>
        <v>1.6528499999999999</v>
      </c>
      <c r="T90" s="5">
        <f t="shared" si="76"/>
        <v>29.751300000000001</v>
      </c>
      <c r="U90" s="7">
        <f t="shared" si="77"/>
        <v>1186.8131868131866</v>
      </c>
      <c r="V90">
        <f t="shared" si="114"/>
        <v>3.2</v>
      </c>
      <c r="W90" s="77">
        <f>+W89</f>
        <v>15</v>
      </c>
      <c r="X90" s="6">
        <f t="shared" si="94"/>
        <v>17.802197802197799</v>
      </c>
      <c r="Y90" s="6">
        <f t="shared" si="95"/>
        <v>1.9616241758241753</v>
      </c>
      <c r="Z90" s="5">
        <f t="shared" si="115"/>
        <v>15.840573626373624</v>
      </c>
      <c r="AA90" s="113">
        <f t="shared" si="78"/>
        <v>4.9501792582417572</v>
      </c>
      <c r="AB90" s="5">
        <f t="shared" si="96"/>
        <v>4.9501792582417563</v>
      </c>
      <c r="AC90" s="80">
        <f t="shared" si="97"/>
        <v>17.802197802197799</v>
      </c>
      <c r="AD90" s="5">
        <f t="shared" si="98"/>
        <v>5.0066754308617227</v>
      </c>
      <c r="AE90" s="5">
        <f t="shared" si="99"/>
        <v>5.2891199999999996</v>
      </c>
      <c r="AF90" s="5">
        <f t="shared" si="100"/>
        <v>1.9616241758241755</v>
      </c>
      <c r="AG90" s="7">
        <f t="shared" si="79"/>
        <v>5006.6754308617228</v>
      </c>
      <c r="AH90" s="5">
        <f t="shared" si="101"/>
        <v>15.840573626373624</v>
      </c>
      <c r="AI90" s="7">
        <f t="shared" si="102"/>
        <v>4950.1792582417575</v>
      </c>
      <c r="AJ90" s="6">
        <f t="shared" si="103"/>
        <v>15.840573626373624</v>
      </c>
      <c r="AK90" s="7">
        <f t="shared" si="116"/>
        <v>169.34537104923209</v>
      </c>
      <c r="AL90" s="7"/>
      <c r="AM90" s="7"/>
      <c r="AO90" s="18"/>
      <c r="AP90" s="4">
        <f t="shared" si="117"/>
        <v>40681</v>
      </c>
      <c r="AQ90" s="36">
        <v>0.4861111111111111</v>
      </c>
      <c r="AR90">
        <f>+AV89</f>
        <v>2850</v>
      </c>
      <c r="AT90" s="4">
        <v>40682</v>
      </c>
      <c r="AU90" s="36">
        <v>0.4069444444444445</v>
      </c>
      <c r="AV90">
        <v>1850</v>
      </c>
      <c r="AX90" s="45">
        <f t="shared" si="80"/>
        <v>1085.972850678733</v>
      </c>
      <c r="AY90" s="45">
        <f t="shared" si="81"/>
        <v>0</v>
      </c>
      <c r="AZ90" s="7">
        <f t="shared" si="82"/>
        <v>1085.972850678733</v>
      </c>
      <c r="BA90" s="18">
        <f t="shared" si="83"/>
        <v>1</v>
      </c>
      <c r="BB90" s="6">
        <f t="shared" si="84"/>
        <v>22.099999999999998</v>
      </c>
      <c r="BI90" s="91"/>
      <c r="BJ90" s="99">
        <v>2.76</v>
      </c>
      <c r="BK90" s="94">
        <v>40681</v>
      </c>
      <c r="BL90" s="12">
        <v>40681</v>
      </c>
      <c r="BM90" s="72">
        <f t="shared" si="85"/>
        <v>60</v>
      </c>
      <c r="BN90" s="24">
        <f t="shared" si="104"/>
        <v>1</v>
      </c>
      <c r="BO90" s="21">
        <f t="shared" si="105"/>
        <v>44</v>
      </c>
      <c r="BP90" s="5">
        <f>+BJ90</f>
        <v>2.76</v>
      </c>
      <c r="BQ90" s="7">
        <f t="shared" si="63"/>
        <v>1085.972850678733</v>
      </c>
      <c r="BR90" s="7"/>
      <c r="BS90" s="7">
        <f t="shared" si="64"/>
        <v>1085.972850678733</v>
      </c>
      <c r="BT90">
        <f t="shared" si="59"/>
        <v>3.2</v>
      </c>
      <c r="BU90">
        <f>+BU89</f>
        <v>10</v>
      </c>
      <c r="BV90" s="6">
        <f t="shared" si="86"/>
        <v>10.859728506787331</v>
      </c>
      <c r="BW90" s="6">
        <f t="shared" si="87"/>
        <v>6.5158371040723986E-2</v>
      </c>
      <c r="BX90" s="5">
        <f t="shared" si="88"/>
        <v>10.794570135746607</v>
      </c>
      <c r="BY90" s="5">
        <f t="shared" si="89"/>
        <v>3.3733031674208145</v>
      </c>
      <c r="BZ90" s="5">
        <f t="shared" si="90"/>
        <v>3.373303167420814</v>
      </c>
      <c r="CA90" s="5">
        <f t="shared" si="91"/>
        <v>10.859728506787331</v>
      </c>
      <c r="CB90" s="7">
        <f t="shared" si="106"/>
        <v>139.5438276044957</v>
      </c>
      <c r="CC90" s="5">
        <f t="shared" si="107"/>
        <v>1.3334087170015974</v>
      </c>
      <c r="CD90" s="7">
        <f>+BO99</f>
        <v>53</v>
      </c>
      <c r="CE90" s="5">
        <f t="shared" si="108"/>
        <v>29.682451253481894</v>
      </c>
      <c r="CF90" s="5">
        <f t="shared" si="109"/>
        <v>314.50545231203034</v>
      </c>
      <c r="CG90">
        <f t="shared" si="74"/>
        <v>53</v>
      </c>
      <c r="CH90" s="5">
        <f t="shared" si="110"/>
        <v>27.711462284122561</v>
      </c>
      <c r="CI90" s="5">
        <f t="shared" si="111"/>
        <v>225.12241158426815</v>
      </c>
      <c r="CJ90" s="5">
        <f t="shared" si="112"/>
        <v>1.0711254046845671</v>
      </c>
      <c r="CK90" s="5">
        <f t="shared" si="113"/>
        <v>1.3970419475286413</v>
      </c>
      <c r="CL90" s="5"/>
      <c r="CM90" s="5"/>
      <c r="CN90" s="5"/>
      <c r="CO90" s="51"/>
      <c r="CQ90" s="51">
        <f t="shared" si="50"/>
        <v>2.6441563133640553</v>
      </c>
      <c r="CR90" s="23">
        <v>163.93769142857144</v>
      </c>
      <c r="CS90" t="s">
        <v>189</v>
      </c>
      <c r="CT90" s="4">
        <v>40742</v>
      </c>
      <c r="CU90" s="7">
        <f t="shared" si="51"/>
        <v>2644.1563133640552</v>
      </c>
      <c r="CV90">
        <f t="shared" si="52"/>
        <v>2</v>
      </c>
      <c r="CW90">
        <f t="shared" si="53"/>
        <v>104</v>
      </c>
      <c r="CX90" s="7">
        <f t="shared" si="55"/>
        <v>3816.8674698795171</v>
      </c>
      <c r="CY90" s="5">
        <f t="shared" si="54"/>
        <v>10.092394217755814</v>
      </c>
      <c r="DA90" s="5"/>
      <c r="DB90" s="126"/>
      <c r="DC90" s="127"/>
      <c r="DD90" s="129"/>
      <c r="DE90" s="17"/>
      <c r="DF90" s="128"/>
      <c r="DG90" s="128"/>
      <c r="DH90" s="87"/>
      <c r="DI90" s="17"/>
      <c r="DJ90" s="128"/>
      <c r="DK90" s="87"/>
      <c r="DL90" s="17"/>
      <c r="DM90" s="87"/>
      <c r="DN90" s="87"/>
      <c r="DO90" s="87"/>
      <c r="DP90" s="87"/>
      <c r="DQ90" s="17"/>
      <c r="DR90" s="17"/>
      <c r="DU90" s="5"/>
      <c r="DV90" s="7"/>
      <c r="DX90" s="7"/>
      <c r="DY90" s="7"/>
      <c r="DZ90" s="5"/>
    </row>
    <row r="91" spans="1:130">
      <c r="E91" s="39"/>
      <c r="F91" s="46"/>
      <c r="G91" s="4"/>
      <c r="H91" s="7"/>
      <c r="I91" s="120" t="s">
        <v>134</v>
      </c>
      <c r="J91" s="5">
        <v>0.95086000000000004</v>
      </c>
      <c r="K91" s="76">
        <f t="shared" si="118"/>
        <v>950.86</v>
      </c>
      <c r="L91" s="107">
        <v>40689</v>
      </c>
      <c r="M91" s="76">
        <v>950.86</v>
      </c>
      <c r="N91" s="104">
        <v>40689</v>
      </c>
      <c r="O91" s="81">
        <v>40689</v>
      </c>
      <c r="P91" s="23">
        <v>950.86</v>
      </c>
      <c r="Q91" s="24">
        <f t="shared" si="92"/>
        <v>2</v>
      </c>
      <c r="R91" s="114">
        <f t="shared" si="93"/>
        <v>52</v>
      </c>
      <c r="S91" s="39">
        <f t="shared" si="75"/>
        <v>0.95086000000000004</v>
      </c>
      <c r="T91" s="5">
        <f t="shared" si="76"/>
        <v>17.115479999999998</v>
      </c>
      <c r="U91" s="7">
        <f t="shared" si="77"/>
        <v>736.6626065773446</v>
      </c>
      <c r="V91">
        <f t="shared" si="114"/>
        <v>3.2</v>
      </c>
      <c r="W91" s="77">
        <v>20</v>
      </c>
      <c r="X91" s="6">
        <f t="shared" si="94"/>
        <v>14.733252131546891</v>
      </c>
      <c r="Y91" s="6">
        <f t="shared" si="95"/>
        <v>0.7004630060901339</v>
      </c>
      <c r="Z91" s="5">
        <f t="shared" si="115"/>
        <v>14.032789125456757</v>
      </c>
      <c r="AA91" s="113">
        <f t="shared" si="78"/>
        <v>4.3852466017052363</v>
      </c>
      <c r="AB91" s="5">
        <f t="shared" si="96"/>
        <v>4.3852466017052372</v>
      </c>
      <c r="AC91" s="80">
        <f t="shared" si="97"/>
        <v>14.733252131546891</v>
      </c>
      <c r="AD91" s="5">
        <f t="shared" si="98"/>
        <v>5.0861285643564349</v>
      </c>
      <c r="AE91" s="5">
        <f t="shared" si="99"/>
        <v>3.0427520000000006</v>
      </c>
      <c r="AF91" s="5">
        <f t="shared" si="100"/>
        <v>0.7004630060901339</v>
      </c>
      <c r="AG91" s="7">
        <f t="shared" si="79"/>
        <v>5086.1285643564352</v>
      </c>
      <c r="AH91" s="5">
        <f t="shared" si="101"/>
        <v>14.032789125456757</v>
      </c>
      <c r="AI91" s="7">
        <f t="shared" si="102"/>
        <v>4385.2466017052366</v>
      </c>
      <c r="AJ91" s="6">
        <f t="shared" si="103"/>
        <v>28.065578250913514</v>
      </c>
      <c r="AK91" s="7">
        <f t="shared" si="116"/>
        <v>197.4109493001456</v>
      </c>
      <c r="AL91" s="7"/>
      <c r="AM91" s="7"/>
      <c r="AO91" s="18"/>
      <c r="AP91" s="4">
        <f t="shared" si="117"/>
        <v>40682</v>
      </c>
      <c r="AQ91" s="36">
        <v>0.80138888888888893</v>
      </c>
      <c r="AR91">
        <v>4000</v>
      </c>
      <c r="AT91" s="4">
        <v>40683</v>
      </c>
      <c r="AU91" s="36">
        <v>0.36805555555555558</v>
      </c>
      <c r="AV91">
        <v>3400</v>
      </c>
      <c r="AX91" s="45">
        <f t="shared" si="80"/>
        <v>1058.8235294117644</v>
      </c>
      <c r="AY91" s="45">
        <f t="shared" si="81"/>
        <v>0</v>
      </c>
      <c r="AZ91" s="7">
        <f t="shared" si="82"/>
        <v>1058.8235294117644</v>
      </c>
      <c r="BA91" s="18">
        <f t="shared" si="83"/>
        <v>1</v>
      </c>
      <c r="BB91" s="6">
        <f t="shared" si="84"/>
        <v>13.600000000000003</v>
      </c>
      <c r="BI91" s="91"/>
      <c r="BJ91" s="99">
        <v>0.73599999999999999</v>
      </c>
      <c r="BK91" s="94">
        <v>40682</v>
      </c>
      <c r="BL91" s="12">
        <v>40682</v>
      </c>
      <c r="BM91" s="72">
        <f t="shared" si="85"/>
        <v>16</v>
      </c>
      <c r="BN91" s="24">
        <f t="shared" si="104"/>
        <v>1</v>
      </c>
      <c r="BO91" s="21">
        <f t="shared" si="105"/>
        <v>45</v>
      </c>
      <c r="BP91" s="5">
        <f>+BJ91</f>
        <v>0.73599999999999999</v>
      </c>
      <c r="BQ91" s="7">
        <f t="shared" si="63"/>
        <v>1058.8235294117644</v>
      </c>
      <c r="BR91" s="7"/>
      <c r="BS91" s="7">
        <f t="shared" si="64"/>
        <v>1058.8235294117644</v>
      </c>
      <c r="BT91">
        <f t="shared" ref="BT91:BT122" si="119">+BT90</f>
        <v>3.2</v>
      </c>
      <c r="BU91">
        <f>+BU90</f>
        <v>10</v>
      </c>
      <c r="BV91" s="6">
        <f t="shared" si="86"/>
        <v>10.588235294117643</v>
      </c>
      <c r="BW91" s="6">
        <f t="shared" si="87"/>
        <v>1.694117647058823E-2</v>
      </c>
      <c r="BX91" s="5">
        <f t="shared" si="88"/>
        <v>10.571294117647055</v>
      </c>
      <c r="BY91" s="5">
        <f t="shared" si="89"/>
        <v>3.3035294117647043</v>
      </c>
      <c r="BZ91" s="5">
        <f t="shared" si="90"/>
        <v>3.3035294117647052</v>
      </c>
      <c r="CA91" s="5">
        <f t="shared" si="91"/>
        <v>10.588235294117643</v>
      </c>
      <c r="CB91" s="7">
        <f t="shared" si="106"/>
        <v>150.13206289861336</v>
      </c>
      <c r="CC91" s="5">
        <f t="shared" si="107"/>
        <v>1.3715048571807613</v>
      </c>
      <c r="CD91" s="7">
        <f>+BO100</f>
        <v>54</v>
      </c>
      <c r="CE91" s="5">
        <f t="shared" si="108"/>
        <v>44.405286343612339</v>
      </c>
      <c r="CF91" s="5">
        <f t="shared" si="109"/>
        <v>358.91073865564266</v>
      </c>
      <c r="CG91">
        <f t="shared" si="74"/>
        <v>54</v>
      </c>
      <c r="CH91" s="5">
        <f t="shared" si="110"/>
        <v>33.890999999999998</v>
      </c>
      <c r="CI91" s="5">
        <f t="shared" si="111"/>
        <v>259.01341158426817</v>
      </c>
      <c r="CJ91" s="5">
        <f t="shared" si="112"/>
        <v>1.3102383034909664</v>
      </c>
      <c r="CK91" s="5">
        <f t="shared" si="113"/>
        <v>1.3856839939690675</v>
      </c>
      <c r="CL91" s="5"/>
      <c r="CM91" s="5"/>
      <c r="CN91" s="5"/>
      <c r="CO91" s="51"/>
      <c r="CQ91" s="51">
        <f t="shared" si="50"/>
        <v>2.3804418801843323</v>
      </c>
      <c r="CR91" s="23">
        <v>147.5873965714286</v>
      </c>
      <c r="CS91" t="s">
        <v>190</v>
      </c>
      <c r="CT91" s="4">
        <v>40744</v>
      </c>
      <c r="CU91" s="7">
        <f t="shared" si="51"/>
        <v>2380.4418801843321</v>
      </c>
      <c r="CV91">
        <f t="shared" si="52"/>
        <v>2</v>
      </c>
      <c r="CW91">
        <f t="shared" si="53"/>
        <v>106</v>
      </c>
      <c r="CX91" s="7">
        <f t="shared" si="55"/>
        <v>3900</v>
      </c>
      <c r="CY91" s="5">
        <f t="shared" si="54"/>
        <v>9.2837233327188962</v>
      </c>
      <c r="DA91" s="5"/>
      <c r="DB91" s="126"/>
      <c r="DC91" s="127"/>
      <c r="DD91" s="129"/>
      <c r="DE91" s="17"/>
      <c r="DF91" s="128"/>
      <c r="DG91" s="128"/>
      <c r="DH91" s="87"/>
      <c r="DI91" s="17"/>
      <c r="DJ91" s="128"/>
      <c r="DK91" s="87"/>
      <c r="DL91" s="17"/>
      <c r="DM91" s="87"/>
      <c r="DN91" s="87"/>
      <c r="DO91" s="87"/>
      <c r="DP91" s="87"/>
      <c r="DQ91" s="17"/>
      <c r="DR91" s="17"/>
      <c r="DU91" s="5"/>
      <c r="DV91" s="7"/>
      <c r="DX91" s="7"/>
      <c r="DY91" s="7"/>
      <c r="DZ91" s="5"/>
    </row>
    <row r="92" spans="1:130">
      <c r="E92" s="39"/>
      <c r="F92" s="47"/>
      <c r="G92" s="4"/>
      <c r="H92" s="7"/>
      <c r="I92" s="47"/>
      <c r="J92" s="5">
        <v>1.3280500000000002</v>
      </c>
      <c r="K92" s="76">
        <f t="shared" si="118"/>
        <v>1328.0500000000002</v>
      </c>
      <c r="L92" s="107">
        <v>40690</v>
      </c>
      <c r="M92" s="76">
        <v>1328.0500000000002</v>
      </c>
      <c r="N92" s="104">
        <v>40690</v>
      </c>
      <c r="O92" s="81">
        <v>40690</v>
      </c>
      <c r="P92" s="23">
        <v>1328.0500000000002</v>
      </c>
      <c r="Q92" s="24">
        <f t="shared" si="92"/>
        <v>1</v>
      </c>
      <c r="R92" s="114">
        <f t="shared" si="93"/>
        <v>53</v>
      </c>
      <c r="S92" s="39">
        <f t="shared" si="75"/>
        <v>1.3280500000000002</v>
      </c>
      <c r="T92" s="5">
        <f t="shared" si="76"/>
        <v>23.904900000000001</v>
      </c>
      <c r="U92" s="7">
        <f t="shared" si="77"/>
        <v>1484.1225626740948</v>
      </c>
      <c r="V92">
        <f t="shared" si="114"/>
        <v>3.2</v>
      </c>
      <c r="W92" s="77">
        <f>+W91</f>
        <v>20</v>
      </c>
      <c r="X92" s="6">
        <f t="shared" si="94"/>
        <v>29.682451253481894</v>
      </c>
      <c r="Y92" s="6">
        <f t="shared" si="95"/>
        <v>1.9709889693593317</v>
      </c>
      <c r="Z92" s="5">
        <f t="shared" si="115"/>
        <v>27.711462284122561</v>
      </c>
      <c r="AA92" s="113">
        <f t="shared" si="78"/>
        <v>8.6598319637882994</v>
      </c>
      <c r="AB92" s="5">
        <f t="shared" si="96"/>
        <v>8.6598319637882994</v>
      </c>
      <c r="AC92" s="80">
        <f t="shared" si="97"/>
        <v>29.682451253481894</v>
      </c>
      <c r="AD92" s="5">
        <f t="shared" si="98"/>
        <v>6.9864105423406269</v>
      </c>
      <c r="AE92" s="5">
        <f t="shared" si="99"/>
        <v>4.2497600000000011</v>
      </c>
      <c r="AF92" s="5">
        <f t="shared" si="100"/>
        <v>1.9709889693593319</v>
      </c>
      <c r="AG92" s="7">
        <f t="shared" si="79"/>
        <v>6986.4105423406272</v>
      </c>
      <c r="AH92" s="5">
        <f t="shared" si="101"/>
        <v>27.711462284122561</v>
      </c>
      <c r="AI92" s="7">
        <f t="shared" si="102"/>
        <v>8659.8319637882996</v>
      </c>
      <c r="AJ92" s="6">
        <f t="shared" si="103"/>
        <v>27.711462284122561</v>
      </c>
      <c r="AK92" s="7">
        <f t="shared" si="116"/>
        <v>225.12241158426815</v>
      </c>
      <c r="AL92" s="7"/>
      <c r="AM92" s="7"/>
      <c r="AO92" s="18"/>
      <c r="AP92" s="4">
        <f t="shared" si="117"/>
        <v>40683</v>
      </c>
      <c r="AQ92" s="36">
        <f>+AU91</f>
        <v>0.36805555555555558</v>
      </c>
      <c r="AR92">
        <f>+AV91</f>
        <v>3400</v>
      </c>
      <c r="AT92" s="4">
        <v>40684</v>
      </c>
      <c r="AU92" s="36">
        <v>0.38750000000000001</v>
      </c>
      <c r="AV92">
        <v>1500</v>
      </c>
      <c r="AX92" s="45">
        <f t="shared" si="80"/>
        <v>1863.7602179836513</v>
      </c>
      <c r="AY92" s="45">
        <f t="shared" si="81"/>
        <v>0</v>
      </c>
      <c r="AZ92" s="7">
        <f t="shared" si="82"/>
        <v>1863.7602179836513</v>
      </c>
      <c r="BA92" s="18">
        <f t="shared" si="83"/>
        <v>1</v>
      </c>
      <c r="BB92" s="6">
        <f t="shared" si="84"/>
        <v>24.466666666666665</v>
      </c>
      <c r="BI92" s="91"/>
      <c r="BJ92" s="99">
        <v>0.73599999999999999</v>
      </c>
      <c r="BK92" s="94">
        <v>40683</v>
      </c>
      <c r="BL92" s="12">
        <v>40683</v>
      </c>
      <c r="BM92" s="72">
        <f t="shared" si="85"/>
        <v>16</v>
      </c>
      <c r="BN92" s="18">
        <f t="shared" si="104"/>
        <v>1</v>
      </c>
      <c r="BO92">
        <f t="shared" si="105"/>
        <v>46</v>
      </c>
      <c r="BP92" s="5">
        <f>+BJ92</f>
        <v>0.73599999999999999</v>
      </c>
      <c r="BQ92" s="7">
        <f t="shared" si="63"/>
        <v>1863.7602179836513</v>
      </c>
      <c r="BR92" s="7"/>
      <c r="BS92" s="7">
        <f t="shared" si="64"/>
        <v>1863.7602179836513</v>
      </c>
      <c r="BT92">
        <f t="shared" si="119"/>
        <v>3.2</v>
      </c>
      <c r="BU92">
        <f>+BU91</f>
        <v>10</v>
      </c>
      <c r="BV92" s="6">
        <f t="shared" si="86"/>
        <v>18.637602179836509</v>
      </c>
      <c r="BW92" s="6">
        <f t="shared" si="87"/>
        <v>2.9820163487738419E-2</v>
      </c>
      <c r="BX92" s="5">
        <f t="shared" si="88"/>
        <v>18.607782016348771</v>
      </c>
      <c r="BY92" s="5">
        <f t="shared" si="89"/>
        <v>5.8149318801089906</v>
      </c>
      <c r="BZ92" s="5">
        <f t="shared" si="90"/>
        <v>5.8149318801089915</v>
      </c>
      <c r="CA92" s="5">
        <f t="shared" si="91"/>
        <v>18.637602179836509</v>
      </c>
      <c r="CB92" s="7">
        <f t="shared" si="106"/>
        <v>168.76966507844986</v>
      </c>
      <c r="CC92" s="5">
        <f t="shared" si="107"/>
        <v>1.4315476872167534</v>
      </c>
      <c r="CD92" s="7">
        <f>+BO101</f>
        <v>55</v>
      </c>
      <c r="CE92" s="5">
        <f t="shared" si="108"/>
        <v>51.261801526717555</v>
      </c>
      <c r="CF92" s="5">
        <f t="shared" si="109"/>
        <v>410.20844857930678</v>
      </c>
      <c r="CG92">
        <f t="shared" si="74"/>
        <v>55</v>
      </c>
      <c r="CH92" s="5">
        <f t="shared" si="110"/>
        <v>49.827774045801526</v>
      </c>
      <c r="CI92" s="5">
        <f t="shared" si="111"/>
        <v>308.84118563006967</v>
      </c>
      <c r="CJ92" s="5">
        <f t="shared" si="112"/>
        <v>1.0287796817814474</v>
      </c>
      <c r="CK92" s="5">
        <f t="shared" si="113"/>
        <v>1.3282180864007398</v>
      </c>
      <c r="CL92" s="5"/>
      <c r="CM92" s="5"/>
      <c r="CN92" s="5"/>
      <c r="CO92" s="51"/>
      <c r="CQ92" s="51">
        <f t="shared" si="50"/>
        <v>2.4798317419354836</v>
      </c>
      <c r="CR92" s="23">
        <v>153.74956799999998</v>
      </c>
      <c r="CS92" t="s">
        <v>191</v>
      </c>
      <c r="CT92" s="4">
        <v>40746</v>
      </c>
      <c r="CU92" s="7">
        <f t="shared" si="51"/>
        <v>2479.8317419354835</v>
      </c>
      <c r="CV92">
        <f t="shared" si="52"/>
        <v>2</v>
      </c>
      <c r="CW92">
        <f t="shared" si="53"/>
        <v>108</v>
      </c>
      <c r="CX92" s="7">
        <f t="shared" si="55"/>
        <v>4087.7419354838712</v>
      </c>
      <c r="CY92" s="5">
        <f t="shared" si="54"/>
        <v>10.136912204453694</v>
      </c>
      <c r="DA92" s="5"/>
      <c r="DB92" s="126"/>
      <c r="DC92" s="127"/>
      <c r="DD92" s="129"/>
      <c r="DE92" s="17"/>
      <c r="DF92" s="128"/>
      <c r="DG92" s="128"/>
      <c r="DH92" s="87"/>
      <c r="DI92" s="17"/>
      <c r="DJ92" s="128"/>
      <c r="DK92" s="87"/>
      <c r="DL92" s="17"/>
      <c r="DM92" s="87"/>
      <c r="DN92" s="87"/>
      <c r="DO92" s="87"/>
      <c r="DP92" s="87"/>
      <c r="DQ92" s="17"/>
      <c r="DR92" s="17"/>
      <c r="DU92" s="5"/>
      <c r="DV92" s="7"/>
      <c r="DX92" s="7"/>
      <c r="DY92" s="7"/>
      <c r="DZ92" s="5"/>
    </row>
    <row r="93" spans="1:130">
      <c r="E93" s="39"/>
      <c r="F93" s="46"/>
      <c r="G93" s="4"/>
      <c r="H93" s="7"/>
      <c r="I93" s="121"/>
      <c r="J93" s="5">
        <v>1.7575000000000001</v>
      </c>
      <c r="K93" s="76">
        <f t="shared" si="118"/>
        <v>1757.5</v>
      </c>
      <c r="L93" s="107">
        <v>40691</v>
      </c>
      <c r="M93" s="76">
        <v>1757.5</v>
      </c>
      <c r="N93" s="104">
        <v>40691</v>
      </c>
      <c r="O93" s="81">
        <v>40691</v>
      </c>
      <c r="P93" s="23">
        <v>1757.5</v>
      </c>
      <c r="Q93" s="24">
        <f t="shared" si="92"/>
        <v>1</v>
      </c>
      <c r="R93" s="114">
        <f t="shared" si="93"/>
        <v>54</v>
      </c>
      <c r="S93" s="39">
        <f t="shared" si="75"/>
        <v>1.7575000000000001</v>
      </c>
      <c r="T93" s="5">
        <f t="shared" si="76"/>
        <v>31.635000000000002</v>
      </c>
      <c r="U93" s="7">
        <f t="shared" si="77"/>
        <v>1200</v>
      </c>
      <c r="V93">
        <f t="shared" si="114"/>
        <v>3.2</v>
      </c>
      <c r="W93" s="77">
        <v>30</v>
      </c>
      <c r="X93" s="6">
        <f t="shared" si="94"/>
        <v>36</v>
      </c>
      <c r="Y93" s="6">
        <f t="shared" si="95"/>
        <v>2.109</v>
      </c>
      <c r="Z93" s="5">
        <f t="shared" si="115"/>
        <v>33.890999999999998</v>
      </c>
      <c r="AA93" s="113">
        <f t="shared" si="78"/>
        <v>10.590937499999999</v>
      </c>
      <c r="AB93" s="5">
        <f t="shared" si="96"/>
        <v>10.590937499999999</v>
      </c>
      <c r="AC93" s="80">
        <f t="shared" si="97"/>
        <v>36</v>
      </c>
      <c r="AD93" s="5">
        <f t="shared" si="98"/>
        <v>9.1476727272727274</v>
      </c>
      <c r="AE93" s="5">
        <f t="shared" si="99"/>
        <v>5.6239999999999997</v>
      </c>
      <c r="AF93" s="5">
        <f t="shared" si="100"/>
        <v>2.109</v>
      </c>
      <c r="AG93" s="7">
        <f t="shared" si="79"/>
        <v>9147.6727272727276</v>
      </c>
      <c r="AH93" s="5">
        <f t="shared" si="101"/>
        <v>33.890999999999998</v>
      </c>
      <c r="AI93" s="7">
        <f t="shared" si="102"/>
        <v>10590.9375</v>
      </c>
      <c r="AJ93" s="6">
        <f t="shared" si="103"/>
        <v>33.890999999999998</v>
      </c>
      <c r="AK93" s="7">
        <f t="shared" si="116"/>
        <v>259.01341158426817</v>
      </c>
      <c r="AL93" s="7"/>
      <c r="AM93" s="7"/>
      <c r="AO93" s="18"/>
      <c r="AP93" s="4">
        <f t="shared" si="117"/>
        <v>40684</v>
      </c>
      <c r="AQ93" s="36">
        <v>0.45833333333333331</v>
      </c>
      <c r="AR93">
        <v>3500</v>
      </c>
      <c r="AT93" s="4">
        <v>40685</v>
      </c>
      <c r="AU93" s="36">
        <v>0.44444444444444442</v>
      </c>
      <c r="AV93">
        <v>1800</v>
      </c>
      <c r="AX93" s="45">
        <f t="shared" si="80"/>
        <v>1723.943661971831</v>
      </c>
      <c r="AY93" s="45">
        <f t="shared" si="81"/>
        <v>0</v>
      </c>
      <c r="AZ93" s="7">
        <f t="shared" si="82"/>
        <v>1723.943661971831</v>
      </c>
      <c r="BA93" s="18">
        <f t="shared" si="83"/>
        <v>1</v>
      </c>
      <c r="BB93" s="6">
        <f t="shared" si="84"/>
        <v>23.666666666666664</v>
      </c>
      <c r="BI93" s="91"/>
      <c r="BJ93" s="27"/>
      <c r="BK93" s="21"/>
      <c r="BL93" s="12">
        <v>40684</v>
      </c>
      <c r="BM93" s="72">
        <f t="shared" si="85"/>
        <v>0</v>
      </c>
      <c r="BN93" s="18">
        <f t="shared" si="104"/>
        <v>1</v>
      </c>
      <c r="BO93">
        <f t="shared" si="105"/>
        <v>47</v>
      </c>
      <c r="BP93" s="5">
        <v>0</v>
      </c>
      <c r="BQ93" s="7">
        <f t="shared" si="63"/>
        <v>1723.943661971831</v>
      </c>
      <c r="BR93" s="7"/>
      <c r="BS93" s="7">
        <f t="shared" si="64"/>
        <v>1723.943661971831</v>
      </c>
      <c r="BT93">
        <f t="shared" si="119"/>
        <v>3.2</v>
      </c>
      <c r="BU93">
        <f>+BU92</f>
        <v>10</v>
      </c>
      <c r="BV93" s="6">
        <f t="shared" si="86"/>
        <v>17.239436619718312</v>
      </c>
      <c r="BW93" s="6">
        <f t="shared" si="87"/>
        <v>0</v>
      </c>
      <c r="BX93" s="5">
        <f t="shared" si="88"/>
        <v>17.239436619718312</v>
      </c>
      <c r="BY93" s="5">
        <f t="shared" si="89"/>
        <v>5.387323943661972</v>
      </c>
      <c r="BZ93" s="5">
        <f t="shared" si="90"/>
        <v>5.387323943661972</v>
      </c>
      <c r="CA93" s="5">
        <f t="shared" si="91"/>
        <v>17.239436619718312</v>
      </c>
      <c r="CB93" s="7">
        <f t="shared" si="106"/>
        <v>186.00910169816817</v>
      </c>
      <c r="CC93" s="5">
        <f t="shared" si="107"/>
        <v>1.4783360189434509</v>
      </c>
      <c r="CD93" s="7">
        <v>57</v>
      </c>
      <c r="CE93" s="5">
        <f t="shared" si="108"/>
        <v>101.31596091205212</v>
      </c>
      <c r="CF93" s="5">
        <f t="shared" si="109"/>
        <v>553.26353992614156</v>
      </c>
      <c r="CG93">
        <f t="shared" si="74"/>
        <v>57</v>
      </c>
      <c r="CH93" s="5">
        <f t="shared" si="110"/>
        <v>62.490502671009772</v>
      </c>
      <c r="CI93" s="5">
        <f t="shared" si="111"/>
        <v>433.82219097208923</v>
      </c>
      <c r="CJ93" s="5">
        <f t="shared" si="112"/>
        <v>1.6213017431695909</v>
      </c>
      <c r="CK93" s="5">
        <f t="shared" si="113"/>
        <v>1.2753232809193407</v>
      </c>
      <c r="CL93" s="5"/>
      <c r="CM93" s="5"/>
      <c r="CN93" s="5"/>
      <c r="CO93" s="51"/>
      <c r="CQ93" s="51">
        <f t="shared" si="50"/>
        <v>2.3539379170506911</v>
      </c>
      <c r="CR93" s="23">
        <v>145.94415085714286</v>
      </c>
      <c r="CS93" t="s">
        <v>192</v>
      </c>
      <c r="CT93" s="4">
        <v>40749</v>
      </c>
      <c r="CU93" s="7">
        <f t="shared" si="51"/>
        <v>2353.9379170506909</v>
      </c>
      <c r="CV93">
        <f t="shared" si="52"/>
        <v>3</v>
      </c>
      <c r="CW93">
        <f t="shared" si="53"/>
        <v>111</v>
      </c>
      <c r="CX93" s="7">
        <f t="shared" si="55"/>
        <v>4047.5675675675684</v>
      </c>
      <c r="CY93" s="5">
        <f t="shared" si="54"/>
        <v>9.5277227691219331</v>
      </c>
      <c r="DA93" s="5"/>
      <c r="DB93" s="126"/>
      <c r="DC93" s="127"/>
      <c r="DD93" s="129"/>
      <c r="DE93" s="17"/>
      <c r="DF93" s="128"/>
      <c r="DG93" s="128"/>
      <c r="DH93" s="87"/>
      <c r="DI93" s="17"/>
      <c r="DJ93" s="128"/>
      <c r="DK93" s="87"/>
      <c r="DL93" s="17"/>
      <c r="DM93" s="87"/>
      <c r="DN93" s="87"/>
      <c r="DO93" s="87"/>
      <c r="DP93" s="87"/>
      <c r="DQ93" s="17"/>
      <c r="DR93" s="17"/>
      <c r="DU93" s="5"/>
      <c r="DV93" s="7"/>
      <c r="DX93" s="7"/>
      <c r="DY93" s="7"/>
      <c r="DZ93" s="5"/>
    </row>
    <row r="94" spans="1:130">
      <c r="E94" s="39"/>
      <c r="F94" s="35"/>
      <c r="G94" s="4"/>
      <c r="H94" s="7"/>
      <c r="I94" s="122" t="s">
        <v>151</v>
      </c>
      <c r="J94" s="5">
        <v>1.1462000000000001</v>
      </c>
      <c r="K94" s="76">
        <f t="shared" si="118"/>
        <v>1146.2</v>
      </c>
      <c r="L94" s="107">
        <v>40692</v>
      </c>
      <c r="M94" s="76">
        <v>1146.2</v>
      </c>
      <c r="N94" s="104">
        <v>40692</v>
      </c>
      <c r="O94" s="81">
        <v>40692</v>
      </c>
      <c r="P94" s="23">
        <v>1146.2</v>
      </c>
      <c r="Q94" s="24">
        <f t="shared" si="92"/>
        <v>1</v>
      </c>
      <c r="R94" s="114">
        <f t="shared" si="93"/>
        <v>55</v>
      </c>
      <c r="S94" s="39">
        <f t="shared" si="75"/>
        <v>1.1462000000000001</v>
      </c>
      <c r="T94" s="5">
        <f t="shared" si="76"/>
        <v>20.631600000000002</v>
      </c>
      <c r="U94" s="7">
        <f t="shared" si="77"/>
        <v>1282.4427480916031</v>
      </c>
      <c r="V94">
        <f t="shared" si="114"/>
        <v>3.2</v>
      </c>
      <c r="W94" s="77">
        <v>40</v>
      </c>
      <c r="X94" s="6">
        <f t="shared" si="94"/>
        <v>51.297709923664122</v>
      </c>
      <c r="Y94" s="6">
        <f t="shared" si="95"/>
        <v>1.4699358778625955</v>
      </c>
      <c r="Z94" s="5">
        <f t="shared" si="115"/>
        <v>49.827774045801526</v>
      </c>
      <c r="AA94" s="113">
        <f t="shared" si="78"/>
        <v>15.571179389312976</v>
      </c>
      <c r="AB94" s="5">
        <f t="shared" si="96"/>
        <v>15.571179389312976</v>
      </c>
      <c r="AC94" s="80">
        <f t="shared" si="97"/>
        <v>51.297709923664122</v>
      </c>
      <c r="AD94" s="5">
        <f t="shared" si="98"/>
        <v>12.698814713896457</v>
      </c>
      <c r="AE94" s="5">
        <f t="shared" si="99"/>
        <v>3.66784</v>
      </c>
      <c r="AF94" s="5">
        <f t="shared" si="100"/>
        <v>1.4699358778625955</v>
      </c>
      <c r="AG94" s="7">
        <f t="shared" si="79"/>
        <v>12698.814713896458</v>
      </c>
      <c r="AH94" s="5">
        <f t="shared" si="101"/>
        <v>49.827774045801526</v>
      </c>
      <c r="AI94" s="7">
        <f t="shared" si="102"/>
        <v>15571.179389312976</v>
      </c>
      <c r="AJ94" s="6">
        <f t="shared" si="103"/>
        <v>49.827774045801526</v>
      </c>
      <c r="AK94" s="7">
        <f t="shared" si="116"/>
        <v>308.84118563006967</v>
      </c>
      <c r="AL94" s="7"/>
      <c r="AM94" s="7"/>
      <c r="AO94" s="18"/>
      <c r="AP94" s="4">
        <f t="shared" si="117"/>
        <v>40685</v>
      </c>
      <c r="AQ94" s="36">
        <v>0.47916666666666669</v>
      </c>
      <c r="AR94">
        <v>4000</v>
      </c>
      <c r="AT94" s="4">
        <v>40686</v>
      </c>
      <c r="AU94" s="36">
        <v>0.40972222222222227</v>
      </c>
      <c r="AV94">
        <v>3000</v>
      </c>
      <c r="AX94" s="45">
        <f t="shared" si="80"/>
        <v>1074.6268656716416</v>
      </c>
      <c r="AY94" s="45">
        <f t="shared" si="81"/>
        <v>0</v>
      </c>
      <c r="AZ94" s="7">
        <f t="shared" si="82"/>
        <v>1074.6268656716416</v>
      </c>
      <c r="BA94" s="18">
        <f t="shared" si="83"/>
        <v>1</v>
      </c>
      <c r="BB94" s="6">
        <f t="shared" si="84"/>
        <v>22.333333333333336</v>
      </c>
      <c r="BI94" s="91"/>
      <c r="BJ94" s="27"/>
      <c r="BK94" s="21"/>
      <c r="BL94" s="12">
        <v>40685</v>
      </c>
      <c r="BM94" s="72">
        <f t="shared" si="85"/>
        <v>0</v>
      </c>
      <c r="BN94" s="18">
        <f t="shared" si="104"/>
        <v>1</v>
      </c>
      <c r="BO94">
        <f t="shared" si="105"/>
        <v>48</v>
      </c>
      <c r="BP94" s="5">
        <v>0</v>
      </c>
      <c r="BQ94" s="7">
        <f>+VLOOKUP(BL94,AP48:AZ107,9)</f>
        <v>1074.6268656716416</v>
      </c>
      <c r="BR94" s="7"/>
      <c r="BS94" s="7">
        <f t="shared" ref="BS94:BS125" si="120">+BQ94</f>
        <v>1074.6268656716416</v>
      </c>
      <c r="BT94">
        <f t="shared" si="119"/>
        <v>3.2</v>
      </c>
      <c r="BU94">
        <v>15</v>
      </c>
      <c r="BV94" s="6">
        <f t="shared" si="86"/>
        <v>16.119402985074622</v>
      </c>
      <c r="BW94" s="6">
        <f t="shared" si="87"/>
        <v>0</v>
      </c>
      <c r="BX94" s="5">
        <f t="shared" si="88"/>
        <v>16.119402985074622</v>
      </c>
      <c r="BY94" s="5">
        <f t="shared" si="89"/>
        <v>5.0373134328358189</v>
      </c>
      <c r="BZ94" s="5">
        <f t="shared" si="90"/>
        <v>5.0373134328358189</v>
      </c>
      <c r="CA94" s="5">
        <f t="shared" si="91"/>
        <v>16.119402985074622</v>
      </c>
      <c r="CB94" s="7">
        <f t="shared" si="106"/>
        <v>202.1285046832428</v>
      </c>
      <c r="CC94" s="5">
        <f t="shared" si="107"/>
        <v>1.438719509125256</v>
      </c>
      <c r="CD94" s="7">
        <f t="shared" ref="CD94:CD113" si="121">+BO104</f>
        <v>58</v>
      </c>
      <c r="CE94" s="5">
        <f t="shared" si="108"/>
        <v>83.870608695652166</v>
      </c>
      <c r="CF94" s="5">
        <f t="shared" si="109"/>
        <v>637.19496849757013</v>
      </c>
      <c r="CG94">
        <f t="shared" si="74"/>
        <v>58</v>
      </c>
      <c r="CH94" s="5">
        <f t="shared" si="110"/>
        <v>78.743766857142859</v>
      </c>
      <c r="CI94" s="5">
        <f t="shared" si="111"/>
        <v>512.56595782923205</v>
      </c>
      <c r="CJ94" s="5">
        <f t="shared" si="112"/>
        <v>1.065107906862145</v>
      </c>
      <c r="CK94" s="5">
        <f t="shared" si="113"/>
        <v>1.2431472647855006</v>
      </c>
      <c r="CL94" s="5"/>
      <c r="CM94" s="5"/>
      <c r="CN94" s="5"/>
      <c r="CO94" s="51"/>
      <c r="CQ94" s="51">
        <f t="shared" si="50"/>
        <v>2.4175474285714285</v>
      </c>
      <c r="CR94" s="23">
        <v>149.88794057142857</v>
      </c>
      <c r="CS94" t="s">
        <v>193</v>
      </c>
      <c r="CT94" s="4">
        <v>40750</v>
      </c>
      <c r="CU94" s="7">
        <f t="shared" si="51"/>
        <v>2417.5474285714286</v>
      </c>
      <c r="CV94">
        <f t="shared" si="52"/>
        <v>1</v>
      </c>
      <c r="CW94">
        <f t="shared" si="53"/>
        <v>112</v>
      </c>
      <c r="CX94" s="7">
        <f t="shared" si="55"/>
        <v>3860.5898123324387</v>
      </c>
      <c r="CY94" s="5">
        <f t="shared" si="54"/>
        <v>9.3331589735733402</v>
      </c>
      <c r="DA94" s="5"/>
      <c r="DB94" s="126"/>
      <c r="DC94" s="127"/>
      <c r="DD94" s="129"/>
      <c r="DE94" s="17"/>
      <c r="DF94" s="128"/>
      <c r="DG94" s="128"/>
      <c r="DH94" s="87"/>
      <c r="DI94" s="17"/>
      <c r="DJ94" s="128"/>
      <c r="DK94" s="87"/>
      <c r="DL94" s="17"/>
      <c r="DM94" s="87"/>
      <c r="DN94" s="87"/>
      <c r="DO94" s="87"/>
      <c r="DP94" s="87"/>
      <c r="DQ94" s="17"/>
      <c r="DR94" s="17"/>
      <c r="DU94" s="5"/>
      <c r="DV94" s="7"/>
      <c r="DX94" s="7"/>
      <c r="DY94" s="7"/>
      <c r="DZ94" s="5"/>
    </row>
    <row r="95" spans="1:130">
      <c r="E95" s="39"/>
      <c r="F95" s="35"/>
      <c r="G95" s="4"/>
      <c r="H95" s="7"/>
      <c r="I95" s="122" t="s">
        <v>152</v>
      </c>
      <c r="J95" s="5">
        <v>2.9926999999999997</v>
      </c>
      <c r="K95" s="76">
        <f t="shared" si="118"/>
        <v>2992.7</v>
      </c>
      <c r="L95" s="107">
        <v>40694</v>
      </c>
      <c r="M95" s="76">
        <v>2992.7</v>
      </c>
      <c r="N95" s="104">
        <v>40694</v>
      </c>
      <c r="O95" s="81">
        <v>40694</v>
      </c>
      <c r="P95" s="23">
        <v>2992.7</v>
      </c>
      <c r="Q95" s="24">
        <f t="shared" si="92"/>
        <v>2</v>
      </c>
      <c r="R95" s="114">
        <f t="shared" si="93"/>
        <v>57</v>
      </c>
      <c r="S95" s="39">
        <f t="shared" si="75"/>
        <v>2.9926999999999997</v>
      </c>
      <c r="T95" s="5">
        <f t="shared" si="76"/>
        <v>53.868600000000001</v>
      </c>
      <c r="U95" s="7">
        <f t="shared" si="77"/>
        <v>1688.5993485342019</v>
      </c>
      <c r="V95">
        <f t="shared" si="114"/>
        <v>3.2</v>
      </c>
      <c r="W95" s="77">
        <f>+W94</f>
        <v>40</v>
      </c>
      <c r="X95" s="6">
        <f t="shared" si="94"/>
        <v>67.54397394136808</v>
      </c>
      <c r="Y95" s="6">
        <f t="shared" si="95"/>
        <v>5.0534712703583056</v>
      </c>
      <c r="Z95" s="5">
        <f t="shared" si="115"/>
        <v>62.490502671009772</v>
      </c>
      <c r="AA95" s="113">
        <f t="shared" si="78"/>
        <v>19.528282084690552</v>
      </c>
      <c r="AB95" s="5">
        <f t="shared" si="96"/>
        <v>19.528282084690552</v>
      </c>
      <c r="AC95" s="80">
        <f t="shared" si="97"/>
        <v>67.54397394136808</v>
      </c>
      <c r="AD95" s="5">
        <f t="shared" si="98"/>
        <v>14.566915565031984</v>
      </c>
      <c r="AE95" s="5">
        <f t="shared" si="99"/>
        <v>9.5766399999999994</v>
      </c>
      <c r="AF95" s="5">
        <f t="shared" si="100"/>
        <v>5.0534712703583056</v>
      </c>
      <c r="AG95" s="7">
        <f t="shared" si="79"/>
        <v>14566.915565031984</v>
      </c>
      <c r="AH95" s="5">
        <f t="shared" si="101"/>
        <v>62.490502671009772</v>
      </c>
      <c r="AI95" s="7">
        <f t="shared" si="102"/>
        <v>19528.282084690552</v>
      </c>
      <c r="AJ95" s="6">
        <f t="shared" si="103"/>
        <v>124.98100534201954</v>
      </c>
      <c r="AK95" s="7">
        <f t="shared" si="116"/>
        <v>433.82219097208923</v>
      </c>
      <c r="AL95" s="7"/>
      <c r="AM95" s="7"/>
      <c r="AO95" s="18"/>
      <c r="AP95" s="4">
        <f t="shared" si="117"/>
        <v>40686</v>
      </c>
      <c r="AQ95" s="36">
        <f>+AU94</f>
        <v>0.40972222222222227</v>
      </c>
      <c r="AR95">
        <f>+AV94</f>
        <v>3000</v>
      </c>
      <c r="AT95" s="4">
        <v>40687</v>
      </c>
      <c r="AU95" s="36">
        <v>0.46249999999999997</v>
      </c>
      <c r="AV95">
        <v>2000</v>
      </c>
      <c r="AX95" s="45">
        <f t="shared" si="80"/>
        <v>949.86807387862791</v>
      </c>
      <c r="AY95" s="45">
        <f t="shared" si="81"/>
        <v>0</v>
      </c>
      <c r="AZ95" s="7">
        <f t="shared" si="82"/>
        <v>949.86807387862791</v>
      </c>
      <c r="BA95" s="18">
        <f t="shared" si="83"/>
        <v>1</v>
      </c>
      <c r="BB95" s="6">
        <f t="shared" si="84"/>
        <v>25.266666666666669</v>
      </c>
      <c r="BI95" s="91"/>
      <c r="BJ95" s="99">
        <v>0</v>
      </c>
      <c r="BK95" s="94">
        <v>40686</v>
      </c>
      <c r="BL95" s="12">
        <v>40686</v>
      </c>
      <c r="BM95" s="72">
        <f t="shared" si="85"/>
        <v>0</v>
      </c>
      <c r="BN95" s="49">
        <f t="shared" si="104"/>
        <v>1</v>
      </c>
      <c r="BO95" s="16">
        <f t="shared" si="105"/>
        <v>49</v>
      </c>
      <c r="BP95" s="5">
        <v>0</v>
      </c>
      <c r="BQ95" s="7">
        <f>+VLOOKUP(BL95,AP49:AZ92,9)</f>
        <v>1863.7602179836513</v>
      </c>
      <c r="BR95" s="7"/>
      <c r="BS95" s="7">
        <f t="shared" si="120"/>
        <v>1863.7602179836513</v>
      </c>
      <c r="BT95">
        <f t="shared" si="119"/>
        <v>3.2</v>
      </c>
      <c r="BU95">
        <f>+BU94</f>
        <v>15</v>
      </c>
      <c r="BV95" s="6">
        <f t="shared" si="86"/>
        <v>27.95640326975477</v>
      </c>
      <c r="BW95" s="6">
        <f t="shared" si="87"/>
        <v>0</v>
      </c>
      <c r="BX95" s="5">
        <f t="shared" si="88"/>
        <v>27.95640326975477</v>
      </c>
      <c r="BY95" s="5">
        <f t="shared" si="89"/>
        <v>8.7363760217983657</v>
      </c>
      <c r="BZ95" s="5">
        <f t="shared" si="90"/>
        <v>8.7363760217983657</v>
      </c>
      <c r="CA95" s="5">
        <f t="shared" si="91"/>
        <v>27.95640326975477</v>
      </c>
      <c r="CB95" s="7">
        <f t="shared" si="106"/>
        <v>230.08490795299755</v>
      </c>
      <c r="CC95" s="5">
        <f t="shared" si="107"/>
        <v>1.498877636502685</v>
      </c>
      <c r="CD95" s="7">
        <f t="shared" si="121"/>
        <v>59</v>
      </c>
      <c r="CE95" s="5">
        <f t="shared" si="108"/>
        <v>131.95810853697239</v>
      </c>
      <c r="CF95" s="5">
        <f t="shared" si="109"/>
        <v>769.63292470194972</v>
      </c>
      <c r="CG95">
        <f t="shared" si="74"/>
        <v>59</v>
      </c>
      <c r="CH95" s="5">
        <f t="shared" si="110"/>
        <v>124.93600817518248</v>
      </c>
      <c r="CI95" s="5">
        <f t="shared" si="111"/>
        <v>637.5019660044145</v>
      </c>
      <c r="CJ95" s="5">
        <f t="shared" si="112"/>
        <v>1.056205576473547</v>
      </c>
      <c r="CK95" s="5">
        <f t="shared" si="113"/>
        <v>1.2072636097511584</v>
      </c>
      <c r="CL95" s="5"/>
      <c r="CM95" s="5"/>
      <c r="CN95" s="5"/>
      <c r="CO95" s="51"/>
      <c r="CQ95" s="51">
        <f t="shared" si="50"/>
        <v>2.1684101751152074</v>
      </c>
      <c r="CR95" s="23">
        <v>134.44143085714285</v>
      </c>
      <c r="CS95" t="s">
        <v>194</v>
      </c>
      <c r="CT95" s="4">
        <v>40753</v>
      </c>
      <c r="CU95" s="7">
        <f t="shared" si="51"/>
        <v>2168.4101751152075</v>
      </c>
      <c r="CV95">
        <f t="shared" si="52"/>
        <v>3</v>
      </c>
      <c r="CW95">
        <f t="shared" si="53"/>
        <v>115</v>
      </c>
      <c r="CX95" s="7">
        <f t="shared" si="55"/>
        <v>3781.5126050420167</v>
      </c>
      <c r="CY95" s="5">
        <f t="shared" si="54"/>
        <v>8.199870410099523</v>
      </c>
      <c r="DA95" s="5"/>
      <c r="DB95" s="126"/>
      <c r="DC95" s="127"/>
      <c r="DD95" s="129"/>
      <c r="DE95" s="17"/>
      <c r="DF95" s="128"/>
      <c r="DG95" s="128"/>
      <c r="DH95" s="87"/>
      <c r="DI95" s="17"/>
      <c r="DJ95" s="128"/>
      <c r="DK95" s="87"/>
      <c r="DL95" s="17"/>
      <c r="DM95" s="87"/>
      <c r="DN95" s="87"/>
      <c r="DO95" s="87"/>
      <c r="DP95" s="87"/>
      <c r="DQ95" s="17"/>
      <c r="DR95" s="17"/>
      <c r="DU95" s="5"/>
      <c r="DV95" s="7"/>
      <c r="DX95" s="7"/>
      <c r="DY95" s="7"/>
      <c r="DZ95" s="5"/>
    </row>
    <row r="96" spans="1:130">
      <c r="E96" s="39"/>
      <c r="F96" s="35"/>
      <c r="G96" s="4"/>
      <c r="H96" s="7"/>
      <c r="I96" s="122" t="s">
        <v>153</v>
      </c>
      <c r="J96" s="5">
        <v>3.7084999999999999</v>
      </c>
      <c r="K96" s="76">
        <f t="shared" si="118"/>
        <v>3708.5</v>
      </c>
      <c r="L96" s="107">
        <v>40695</v>
      </c>
      <c r="M96" s="76">
        <v>3708.5</v>
      </c>
      <c r="N96" s="104">
        <v>40695</v>
      </c>
      <c r="O96" s="81">
        <v>40695</v>
      </c>
      <c r="P96" s="23">
        <v>3708.5</v>
      </c>
      <c r="Q96" s="24">
        <f t="shared" si="92"/>
        <v>1</v>
      </c>
      <c r="R96" s="114">
        <f t="shared" si="93"/>
        <v>58</v>
      </c>
      <c r="S96" s="39">
        <f t="shared" si="75"/>
        <v>3.7084999999999999</v>
      </c>
      <c r="T96" s="5">
        <f t="shared" si="76"/>
        <v>66.753</v>
      </c>
      <c r="U96" s="7">
        <f t="shared" si="77"/>
        <v>1398.8571428571427</v>
      </c>
      <c r="V96">
        <f t="shared" si="114"/>
        <v>3.2</v>
      </c>
      <c r="W96" s="77">
        <v>60</v>
      </c>
      <c r="X96" s="6">
        <f t="shared" si="94"/>
        <v>83.931428571428569</v>
      </c>
      <c r="Y96" s="6">
        <f t="shared" si="95"/>
        <v>5.1876617142857135</v>
      </c>
      <c r="Z96" s="5">
        <f t="shared" si="115"/>
        <v>78.743766857142859</v>
      </c>
      <c r="AA96" s="113">
        <f t="shared" si="78"/>
        <v>24.607427142857141</v>
      </c>
      <c r="AB96" s="5">
        <f t="shared" si="96"/>
        <v>24.607427142857137</v>
      </c>
      <c r="AC96" s="80">
        <f t="shared" si="97"/>
        <v>83.931428571428569</v>
      </c>
      <c r="AD96" s="5">
        <f t="shared" si="98"/>
        <v>20.332892644135189</v>
      </c>
      <c r="AE96" s="5">
        <f t="shared" si="99"/>
        <v>11.8672</v>
      </c>
      <c r="AF96" s="5">
        <f t="shared" si="100"/>
        <v>5.1876617142857127</v>
      </c>
      <c r="AG96" s="7">
        <f t="shared" si="79"/>
        <v>20332.89264413519</v>
      </c>
      <c r="AH96" s="5">
        <f t="shared" si="101"/>
        <v>78.743766857142859</v>
      </c>
      <c r="AI96" s="7">
        <f t="shared" si="102"/>
        <v>24607.427142857145</v>
      </c>
      <c r="AJ96" s="6">
        <f t="shared" si="103"/>
        <v>78.743766857142859</v>
      </c>
      <c r="AK96" s="7">
        <f t="shared" si="116"/>
        <v>512.56595782923205</v>
      </c>
      <c r="AL96" s="7"/>
      <c r="AM96" s="7"/>
      <c r="AO96" s="18"/>
      <c r="AP96" s="4">
        <f t="shared" si="117"/>
        <v>40687</v>
      </c>
      <c r="AQ96" s="36">
        <v>0.82986111111111116</v>
      </c>
      <c r="AR96">
        <v>3700</v>
      </c>
      <c r="AT96" s="4">
        <v>40688</v>
      </c>
      <c r="AU96" s="36">
        <v>0.46180555555555558</v>
      </c>
      <c r="AV96">
        <v>2950</v>
      </c>
      <c r="AX96" s="45">
        <f t="shared" si="80"/>
        <v>1186.8131868131866</v>
      </c>
      <c r="AY96" s="45">
        <f t="shared" si="81"/>
        <v>0</v>
      </c>
      <c r="AZ96" s="7">
        <f t="shared" si="82"/>
        <v>1186.8131868131866</v>
      </c>
      <c r="BA96" s="18">
        <f t="shared" si="83"/>
        <v>1</v>
      </c>
      <c r="BB96" s="6">
        <f t="shared" si="84"/>
        <v>15.16666666666667</v>
      </c>
      <c r="BI96" s="91"/>
      <c r="BJ96" s="99">
        <v>0</v>
      </c>
      <c r="BK96" s="94">
        <v>40687</v>
      </c>
      <c r="BL96" s="12">
        <v>40687</v>
      </c>
      <c r="BM96" s="72">
        <f t="shared" si="85"/>
        <v>0</v>
      </c>
      <c r="BN96" s="49">
        <f t="shared" si="104"/>
        <v>1</v>
      </c>
      <c r="BO96" s="16">
        <f t="shared" si="105"/>
        <v>50</v>
      </c>
      <c r="BP96" s="5">
        <v>0</v>
      </c>
      <c r="BQ96" s="7">
        <f>+VLOOKUP(BL96,AP50:AZ129,9)</f>
        <v>1186.8131868131866</v>
      </c>
      <c r="BR96" s="7"/>
      <c r="BS96" s="7">
        <f t="shared" si="120"/>
        <v>1186.8131868131866</v>
      </c>
      <c r="BT96">
        <f t="shared" si="119"/>
        <v>3.2</v>
      </c>
      <c r="BU96">
        <f>+BU95</f>
        <v>15</v>
      </c>
      <c r="BV96" s="6">
        <f t="shared" si="86"/>
        <v>17.802197802197799</v>
      </c>
      <c r="BW96" s="6">
        <f t="shared" si="87"/>
        <v>0</v>
      </c>
      <c r="BX96" s="5">
        <f t="shared" si="88"/>
        <v>17.802197802197799</v>
      </c>
      <c r="BY96" s="5">
        <f t="shared" si="89"/>
        <v>5.5631868131868121</v>
      </c>
      <c r="BZ96" s="5">
        <f t="shared" si="90"/>
        <v>5.5631868131868121</v>
      </c>
      <c r="CA96" s="5">
        <f t="shared" si="91"/>
        <v>17.802197802197799</v>
      </c>
      <c r="CB96" s="7">
        <f t="shared" si="106"/>
        <v>247.88710575519536</v>
      </c>
      <c r="CC96" s="5">
        <f t="shared" si="107"/>
        <v>1.4637961712170426</v>
      </c>
      <c r="CD96" s="7">
        <f t="shared" si="121"/>
        <v>60</v>
      </c>
      <c r="CE96" s="5">
        <f t="shared" si="108"/>
        <v>120.38080550447833</v>
      </c>
      <c r="CF96" s="5">
        <f t="shared" si="109"/>
        <v>890.45147859008068</v>
      </c>
      <c r="CG96">
        <f t="shared" si="74"/>
        <v>60</v>
      </c>
      <c r="CH96" s="5">
        <f t="shared" si="110"/>
        <v>109.67082728512962</v>
      </c>
      <c r="CI96" s="5">
        <f t="shared" si="111"/>
        <v>747.17279328954407</v>
      </c>
      <c r="CJ96" s="5">
        <f t="shared" si="112"/>
        <v>1.0976556709242669</v>
      </c>
      <c r="CK96" s="5">
        <f t="shared" si="113"/>
        <v>1.1917611114689146</v>
      </c>
      <c r="CL96" s="5"/>
      <c r="CM96" s="5"/>
      <c r="CN96" s="5"/>
      <c r="CO96" s="51"/>
      <c r="CQ96" s="51">
        <f t="shared" si="50"/>
        <v>2.1087762580645166</v>
      </c>
      <c r="CR96" s="23">
        <v>130.74412800000002</v>
      </c>
      <c r="CS96" t="s">
        <v>195</v>
      </c>
      <c r="CT96" s="4">
        <v>40755</v>
      </c>
      <c r="CU96" s="7">
        <f t="shared" si="51"/>
        <v>2108.7762580645167</v>
      </c>
      <c r="CV96">
        <f t="shared" si="52"/>
        <v>2</v>
      </c>
      <c r="CW96">
        <f t="shared" si="53"/>
        <v>117</v>
      </c>
      <c r="CX96" s="7">
        <f t="shared" si="55"/>
        <v>3810.3638368246966</v>
      </c>
      <c r="CY96" s="5">
        <f t="shared" si="54"/>
        <v>8.0352047936835369</v>
      </c>
      <c r="DA96" s="5"/>
      <c r="DB96" s="126"/>
      <c r="DC96" s="127"/>
      <c r="DD96" s="129"/>
      <c r="DE96" s="17"/>
      <c r="DF96" s="128"/>
      <c r="DG96" s="128"/>
      <c r="DH96" s="87"/>
      <c r="DI96" s="17"/>
      <c r="DJ96" s="128"/>
      <c r="DK96" s="87"/>
      <c r="DL96" s="17"/>
      <c r="DM96" s="87"/>
      <c r="DN96" s="87"/>
      <c r="DO96" s="87"/>
      <c r="DP96" s="87"/>
      <c r="DQ96" s="17"/>
      <c r="DR96" s="17"/>
      <c r="DU96" s="5"/>
      <c r="DV96" s="7"/>
      <c r="DX96" s="7"/>
      <c r="DY96" s="7"/>
      <c r="DZ96" s="5"/>
    </row>
    <row r="97" spans="3:130">
      <c r="E97" s="39"/>
      <c r="F97" s="48"/>
      <c r="G97" s="4"/>
      <c r="H97" s="7"/>
      <c r="I97" s="123" t="s">
        <v>154</v>
      </c>
      <c r="J97" s="5">
        <v>3.3987000000000003</v>
      </c>
      <c r="K97" s="76">
        <f t="shared" si="118"/>
        <v>3398.7000000000003</v>
      </c>
      <c r="L97" s="107">
        <v>40696</v>
      </c>
      <c r="M97" s="76">
        <v>3398.7000000000003</v>
      </c>
      <c r="N97" s="104">
        <v>40696</v>
      </c>
      <c r="O97" s="81">
        <v>40696</v>
      </c>
      <c r="P97" s="23">
        <v>3398.7000000000003</v>
      </c>
      <c r="Q97" s="24">
        <f t="shared" si="92"/>
        <v>1</v>
      </c>
      <c r="R97" s="114">
        <f t="shared" si="93"/>
        <v>59</v>
      </c>
      <c r="S97" s="39">
        <f t="shared" si="75"/>
        <v>3.3987000000000003</v>
      </c>
      <c r="T97" s="5">
        <f t="shared" si="76"/>
        <v>61.176600000000008</v>
      </c>
      <c r="U97" s="7">
        <f t="shared" si="77"/>
        <v>2207.2992700729928</v>
      </c>
      <c r="V97">
        <f t="shared" si="114"/>
        <v>3.2</v>
      </c>
      <c r="W97" s="77">
        <f t="shared" ref="W97:W112" si="122">+W96</f>
        <v>60</v>
      </c>
      <c r="X97" s="6">
        <f t="shared" si="94"/>
        <v>132.43795620437956</v>
      </c>
      <c r="Y97" s="6">
        <f t="shared" si="95"/>
        <v>7.5019480291970808</v>
      </c>
      <c r="Z97" s="5">
        <f t="shared" si="115"/>
        <v>124.93600817518248</v>
      </c>
      <c r="AA97" s="113">
        <f t="shared" si="78"/>
        <v>39.042502554744523</v>
      </c>
      <c r="AB97" s="5">
        <f t="shared" si="96"/>
        <v>39.04250255474453</v>
      </c>
      <c r="AC97" s="80">
        <f t="shared" si="97"/>
        <v>132.43795620437956</v>
      </c>
      <c r="AD97" s="5">
        <f t="shared" si="98"/>
        <v>26.687103671706261</v>
      </c>
      <c r="AE97" s="5">
        <f t="shared" si="99"/>
        <v>10.875840000000002</v>
      </c>
      <c r="AF97" s="5">
        <f t="shared" si="100"/>
        <v>7.5019480291970817</v>
      </c>
      <c r="AG97" s="7">
        <f t="shared" si="79"/>
        <v>26687.10367170626</v>
      </c>
      <c r="AH97" s="5">
        <f t="shared" si="101"/>
        <v>124.93600817518248</v>
      </c>
      <c r="AI97" s="7">
        <f t="shared" si="102"/>
        <v>39042.502554744518</v>
      </c>
      <c r="AJ97" s="6">
        <f t="shared" si="103"/>
        <v>124.93600817518248</v>
      </c>
      <c r="AK97" s="7">
        <f t="shared" si="116"/>
        <v>637.5019660044145</v>
      </c>
      <c r="AL97" s="7"/>
      <c r="AM97" s="7"/>
      <c r="AO97" s="18"/>
      <c r="AP97" s="4">
        <f t="shared" si="117"/>
        <v>40688</v>
      </c>
      <c r="AQ97" s="36">
        <f>+AU96</f>
        <v>0.46180555555555558</v>
      </c>
      <c r="AR97">
        <f>+AV96</f>
        <v>2950</v>
      </c>
      <c r="AT97" s="4">
        <v>40689</v>
      </c>
      <c r="AU97" s="36">
        <v>0.40763888888888888</v>
      </c>
      <c r="AV97">
        <v>1550</v>
      </c>
      <c r="AX97" s="45">
        <f t="shared" si="80"/>
        <v>1480.1762114537446</v>
      </c>
      <c r="AY97" s="45">
        <f t="shared" si="81"/>
        <v>0</v>
      </c>
      <c r="AZ97" s="7">
        <f t="shared" si="82"/>
        <v>1480.1762114537446</v>
      </c>
      <c r="BA97" s="18">
        <f t="shared" si="83"/>
        <v>1</v>
      </c>
      <c r="BB97" s="6">
        <f t="shared" si="84"/>
        <v>22.7</v>
      </c>
      <c r="BI97" s="91"/>
      <c r="BJ97" s="27"/>
      <c r="BK97" s="21"/>
      <c r="BL97" s="12">
        <v>40688</v>
      </c>
      <c r="BM97" s="72">
        <f t="shared" si="85"/>
        <v>0</v>
      </c>
      <c r="BN97" s="49">
        <f t="shared" si="104"/>
        <v>1</v>
      </c>
      <c r="BO97" s="16">
        <f t="shared" si="105"/>
        <v>51</v>
      </c>
      <c r="BP97" s="5">
        <v>0</v>
      </c>
      <c r="BQ97" s="7">
        <f>+VLOOKUP(BL97,AP51:AZ104,9)</f>
        <v>1480.1762114537446</v>
      </c>
      <c r="BR97" s="7"/>
      <c r="BS97" s="7">
        <f t="shared" si="120"/>
        <v>1480.1762114537446</v>
      </c>
      <c r="BT97">
        <f t="shared" si="119"/>
        <v>3.2</v>
      </c>
      <c r="BU97">
        <f>+BU96</f>
        <v>15</v>
      </c>
      <c r="BV97" s="6">
        <f t="shared" si="86"/>
        <v>22.202643171806169</v>
      </c>
      <c r="BW97" s="6">
        <f t="shared" si="87"/>
        <v>0</v>
      </c>
      <c r="BX97" s="5">
        <f t="shared" si="88"/>
        <v>22.202643171806169</v>
      </c>
      <c r="BY97" s="5">
        <f t="shared" si="89"/>
        <v>6.9383259911894273</v>
      </c>
      <c r="BZ97" s="5">
        <f t="shared" si="90"/>
        <v>6.9383259911894273</v>
      </c>
      <c r="CA97" s="5">
        <f t="shared" si="91"/>
        <v>22.202643171806169</v>
      </c>
      <c r="CB97" s="7">
        <f t="shared" si="106"/>
        <v>270.08974892700155</v>
      </c>
      <c r="CC97" s="5">
        <f t="shared" si="107"/>
        <v>1.5949048223377837</v>
      </c>
      <c r="CD97" s="7">
        <f t="shared" si="121"/>
        <v>61</v>
      </c>
      <c r="CE97" s="5">
        <f t="shared" si="108"/>
        <v>106.86362735381566</v>
      </c>
      <c r="CF97" s="5">
        <f t="shared" si="109"/>
        <v>997.48814856034824</v>
      </c>
      <c r="CG97">
        <f t="shared" si="74"/>
        <v>61</v>
      </c>
      <c r="CH97" s="5">
        <f t="shared" si="110"/>
        <v>103.31714568880079</v>
      </c>
      <c r="CI97" s="5">
        <f t="shared" si="111"/>
        <v>850.48993897834487</v>
      </c>
      <c r="CJ97" s="5">
        <f t="shared" si="112"/>
        <v>1.034326167659501</v>
      </c>
      <c r="CK97" s="5">
        <f t="shared" si="113"/>
        <v>1.1728394456477471</v>
      </c>
      <c r="CL97" s="5"/>
      <c r="CM97" s="5"/>
      <c r="CN97" s="5"/>
      <c r="CO97" s="51"/>
      <c r="CQ97" s="51"/>
      <c r="CR97" s="6"/>
      <c r="CT97" s="4"/>
      <c r="CU97" s="7"/>
      <c r="CX97" s="7"/>
      <c r="DA97" s="5"/>
      <c r="DB97" s="126"/>
      <c r="DC97" s="127"/>
      <c r="DD97" s="129"/>
      <c r="DE97" s="125"/>
      <c r="DF97" s="128"/>
      <c r="DG97" s="128"/>
      <c r="DH97" s="90"/>
      <c r="DI97" s="17"/>
      <c r="DJ97" s="128"/>
      <c r="DK97" s="87"/>
      <c r="DL97" s="17"/>
      <c r="DM97" s="87"/>
      <c r="DN97" s="87"/>
      <c r="DO97" s="87"/>
      <c r="DP97" s="87"/>
      <c r="DQ97" s="17"/>
      <c r="DR97" s="17"/>
      <c r="DU97" s="5"/>
      <c r="DV97" s="7"/>
      <c r="DX97" s="7"/>
      <c r="DY97" s="7"/>
      <c r="DZ97" s="5"/>
    </row>
    <row r="98" spans="3:130">
      <c r="E98" s="39"/>
      <c r="F98" s="48"/>
      <c r="G98" s="4"/>
      <c r="H98" s="7"/>
      <c r="I98" s="123" t="s">
        <v>155</v>
      </c>
      <c r="J98" s="5">
        <v>5.5360999999999994</v>
      </c>
      <c r="K98" s="76">
        <f t="shared" si="118"/>
        <v>5536.0999999999995</v>
      </c>
      <c r="L98" s="107">
        <v>40697</v>
      </c>
      <c r="M98" s="76">
        <v>5536.0999999999995</v>
      </c>
      <c r="N98" s="104">
        <v>40697</v>
      </c>
      <c r="O98" s="81">
        <v>40697</v>
      </c>
      <c r="P98" s="23">
        <v>5536.0999999999995</v>
      </c>
      <c r="Q98" s="24">
        <f t="shared" si="92"/>
        <v>1</v>
      </c>
      <c r="R98" s="114">
        <f t="shared" si="93"/>
        <v>60</v>
      </c>
      <c r="S98" s="39">
        <f t="shared" si="75"/>
        <v>5.5360999999999994</v>
      </c>
      <c r="T98" s="5">
        <f t="shared" si="76"/>
        <v>99.649799999999985</v>
      </c>
      <c r="U98" s="7">
        <f t="shared" si="77"/>
        <v>2013.642564802183</v>
      </c>
      <c r="V98">
        <f t="shared" si="114"/>
        <v>3.2</v>
      </c>
      <c r="W98" s="77">
        <f t="shared" si="122"/>
        <v>60</v>
      </c>
      <c r="X98" s="6">
        <f t="shared" si="94"/>
        <v>120.81855388813098</v>
      </c>
      <c r="Y98" s="6">
        <f t="shared" si="95"/>
        <v>11.147726603001363</v>
      </c>
      <c r="Z98" s="5">
        <f t="shared" si="115"/>
        <v>109.67082728512962</v>
      </c>
      <c r="AA98" s="113">
        <f t="shared" si="78"/>
        <v>34.272133526603007</v>
      </c>
      <c r="AB98" s="5">
        <f t="shared" si="96"/>
        <v>34.272133526603007</v>
      </c>
      <c r="AC98" s="80">
        <f t="shared" si="97"/>
        <v>120.81855388813098</v>
      </c>
      <c r="AD98" s="5">
        <f t="shared" si="98"/>
        <v>25.25957471216244</v>
      </c>
      <c r="AE98" s="5">
        <f t="shared" si="99"/>
        <v>17.715520000000001</v>
      </c>
      <c r="AF98" s="5">
        <f t="shared" si="100"/>
        <v>11.147726603001365</v>
      </c>
      <c r="AG98" s="7">
        <f t="shared" si="79"/>
        <v>25259.574712162441</v>
      </c>
      <c r="AH98" s="5">
        <f t="shared" si="101"/>
        <v>109.67082728512962</v>
      </c>
      <c r="AI98" s="7">
        <f t="shared" si="102"/>
        <v>34272.133526603007</v>
      </c>
      <c r="AJ98" s="6">
        <f t="shared" si="103"/>
        <v>109.67082728512962</v>
      </c>
      <c r="AK98" s="7">
        <f t="shared" si="116"/>
        <v>747.17279328954407</v>
      </c>
      <c r="AL98" s="7"/>
      <c r="AM98" s="7"/>
      <c r="AO98" s="18"/>
      <c r="AP98" s="4">
        <f t="shared" si="117"/>
        <v>40689</v>
      </c>
      <c r="AQ98" s="36">
        <v>0.81874999999999998</v>
      </c>
      <c r="AR98">
        <v>4000</v>
      </c>
      <c r="AT98" s="4">
        <v>40690</v>
      </c>
      <c r="AU98" s="36">
        <v>0.3888888888888889</v>
      </c>
      <c r="AV98">
        <v>3580</v>
      </c>
      <c r="AX98" s="45">
        <f t="shared" si="80"/>
        <v>736.6626065773446</v>
      </c>
      <c r="AY98" s="45">
        <f t="shared" si="81"/>
        <v>0</v>
      </c>
      <c r="AZ98" s="7">
        <f t="shared" si="82"/>
        <v>736.6626065773446</v>
      </c>
      <c r="BA98" s="18">
        <f t="shared" si="83"/>
        <v>1</v>
      </c>
      <c r="BB98" s="6">
        <f t="shared" si="84"/>
        <v>13.683333333333335</v>
      </c>
      <c r="BI98" s="91"/>
      <c r="BJ98" s="99">
        <v>0</v>
      </c>
      <c r="BK98" s="94">
        <v>40689</v>
      </c>
      <c r="BL98" s="12">
        <v>40689</v>
      </c>
      <c r="BM98" s="72">
        <f t="shared" si="85"/>
        <v>43.478260869565219</v>
      </c>
      <c r="BN98" s="49">
        <f t="shared" si="104"/>
        <v>1</v>
      </c>
      <c r="BO98" s="16">
        <f t="shared" si="105"/>
        <v>52</v>
      </c>
      <c r="BP98" s="5">
        <v>2</v>
      </c>
      <c r="BQ98" s="7">
        <f>+VLOOKUP(BL98,AP52:AZ106,9)</f>
        <v>736.6626065773446</v>
      </c>
      <c r="BR98" s="7"/>
      <c r="BS98" s="7">
        <f t="shared" si="120"/>
        <v>736.6626065773446</v>
      </c>
      <c r="BT98">
        <f t="shared" si="119"/>
        <v>3.2</v>
      </c>
      <c r="BU98">
        <v>20</v>
      </c>
      <c r="BV98" s="6">
        <f t="shared" si="86"/>
        <v>14.733252131546891</v>
      </c>
      <c r="BW98" s="6">
        <f t="shared" si="87"/>
        <v>3.2028808981623677E-2</v>
      </c>
      <c r="BX98" s="5">
        <f t="shared" si="88"/>
        <v>14.701223322565268</v>
      </c>
      <c r="BY98" s="5">
        <f t="shared" si="89"/>
        <v>4.5941322883016458</v>
      </c>
      <c r="BZ98" s="5">
        <f t="shared" si="90"/>
        <v>4.5941322883016458</v>
      </c>
      <c r="CA98" s="5">
        <f t="shared" si="91"/>
        <v>14.733252131546891</v>
      </c>
      <c r="CB98" s="7">
        <f t="shared" si="106"/>
        <v>284.82300105854847</v>
      </c>
      <c r="CC98" s="5">
        <f t="shared" si="107"/>
        <v>1.4427923175907569</v>
      </c>
      <c r="CD98" s="7">
        <f t="shared" si="121"/>
        <v>62</v>
      </c>
      <c r="CE98" s="5">
        <f t="shared" si="108"/>
        <v>120.2442724207687</v>
      </c>
      <c r="CF98" s="5">
        <f t="shared" si="109"/>
        <v>1119.8347433007393</v>
      </c>
      <c r="CG98">
        <f t="shared" si="74"/>
        <v>62</v>
      </c>
      <c r="CH98" s="5">
        <f t="shared" si="110"/>
        <v>119.20024814565069</v>
      </c>
      <c r="CI98" s="5">
        <f t="shared" si="111"/>
        <v>969.69018712399554</v>
      </c>
      <c r="CJ98" s="5">
        <f t="shared" si="112"/>
        <v>1.0087585746788237</v>
      </c>
      <c r="CK98" s="5">
        <f t="shared" si="113"/>
        <v>1.1548376565736502</v>
      </c>
      <c r="CL98" s="5"/>
      <c r="CM98" s="5"/>
      <c r="CN98" s="5"/>
      <c r="CO98" s="51"/>
      <c r="CQ98" s="51"/>
      <c r="CR98" s="6"/>
      <c r="CT98" s="4"/>
      <c r="CU98" s="7"/>
      <c r="CX98" s="7"/>
      <c r="DA98" s="5"/>
      <c r="DB98" s="126"/>
      <c r="DC98" s="127"/>
      <c r="DD98" s="129"/>
      <c r="DE98" s="17"/>
      <c r="DF98" s="128"/>
      <c r="DG98" s="128"/>
      <c r="DH98" s="87"/>
      <c r="DI98" s="17"/>
      <c r="DJ98" s="128"/>
      <c r="DK98" s="87"/>
      <c r="DL98" s="17"/>
      <c r="DM98" s="87"/>
      <c r="DN98" s="87"/>
      <c r="DO98" s="87"/>
      <c r="DP98" s="87"/>
      <c r="DQ98" s="17"/>
      <c r="DR98" s="17"/>
      <c r="DU98" s="5"/>
      <c r="DV98" s="7"/>
      <c r="DX98" s="7"/>
      <c r="DY98" s="7"/>
      <c r="DZ98" s="5"/>
    </row>
    <row r="99" spans="3:130">
      <c r="E99" s="39"/>
      <c r="F99" s="48"/>
      <c r="G99" s="4"/>
      <c r="H99" s="7"/>
      <c r="I99" s="48"/>
      <c r="J99" s="5">
        <v>2.085</v>
      </c>
      <c r="K99" s="76">
        <f t="shared" si="118"/>
        <v>2085</v>
      </c>
      <c r="L99" s="107">
        <v>40698</v>
      </c>
      <c r="M99" s="76">
        <v>2085.8000000000002</v>
      </c>
      <c r="N99" s="104">
        <v>40698</v>
      </c>
      <c r="O99" s="81">
        <v>40698</v>
      </c>
      <c r="P99" s="23">
        <v>2085</v>
      </c>
      <c r="Q99" s="24">
        <f t="shared" si="92"/>
        <v>1</v>
      </c>
      <c r="R99" s="114">
        <f t="shared" si="93"/>
        <v>61</v>
      </c>
      <c r="S99" s="39">
        <f t="shared" si="75"/>
        <v>2.085</v>
      </c>
      <c r="T99" s="5">
        <f t="shared" si="76"/>
        <v>37.53</v>
      </c>
      <c r="U99" s="7">
        <f t="shared" si="77"/>
        <v>1783.9444995044601</v>
      </c>
      <c r="V99">
        <f t="shared" si="114"/>
        <v>3.2</v>
      </c>
      <c r="W99" s="77">
        <f t="shared" si="122"/>
        <v>60</v>
      </c>
      <c r="X99" s="6">
        <f t="shared" si="94"/>
        <v>107.0366699702676</v>
      </c>
      <c r="Y99" s="6">
        <f t="shared" si="95"/>
        <v>3.7195242814667995</v>
      </c>
      <c r="Z99" s="5">
        <f t="shared" si="115"/>
        <v>103.31714568880079</v>
      </c>
      <c r="AA99" s="113">
        <f t="shared" si="78"/>
        <v>32.286608027750248</v>
      </c>
      <c r="AB99" s="5">
        <f t="shared" si="96"/>
        <v>32.286608027750248</v>
      </c>
      <c r="AC99" s="80">
        <f t="shared" si="97"/>
        <v>107.0366699702676</v>
      </c>
      <c r="AD99" s="5">
        <f t="shared" si="98"/>
        <v>25.030814444797961</v>
      </c>
      <c r="AE99" s="5">
        <f t="shared" si="99"/>
        <v>6.6719999999999997</v>
      </c>
      <c r="AF99" s="5">
        <f t="shared" si="100"/>
        <v>3.719524281466799</v>
      </c>
      <c r="AG99" s="7">
        <f t="shared" si="79"/>
        <v>25030.814444797961</v>
      </c>
      <c r="AH99" s="5">
        <f t="shared" si="101"/>
        <v>103.31714568880079</v>
      </c>
      <c r="AI99" s="7">
        <f t="shared" si="102"/>
        <v>32286.608027750248</v>
      </c>
      <c r="AJ99" s="6">
        <f t="shared" si="103"/>
        <v>103.31714568880079</v>
      </c>
      <c r="AK99" s="7">
        <f t="shared" si="116"/>
        <v>850.48993897834487</v>
      </c>
      <c r="AL99" s="7"/>
      <c r="AM99" s="7"/>
      <c r="AO99" s="18"/>
      <c r="AP99" s="4">
        <f t="shared" si="117"/>
        <v>40690</v>
      </c>
      <c r="AQ99" s="36">
        <f>+AU98</f>
        <v>0.3888888888888889</v>
      </c>
      <c r="AR99">
        <f>+AV98</f>
        <v>3580</v>
      </c>
      <c r="AT99" s="4">
        <v>40691</v>
      </c>
      <c r="AU99" s="36">
        <v>0.38611111111111113</v>
      </c>
      <c r="AV99">
        <v>2100</v>
      </c>
      <c r="AX99" s="45">
        <f t="shared" si="80"/>
        <v>1484.1225626740948</v>
      </c>
      <c r="AY99" s="45">
        <f t="shared" si="81"/>
        <v>0</v>
      </c>
      <c r="AZ99" s="7">
        <f t="shared" si="82"/>
        <v>1484.1225626740948</v>
      </c>
      <c r="BA99" s="18">
        <f t="shared" si="83"/>
        <v>1</v>
      </c>
      <c r="BB99" s="6">
        <f t="shared" si="84"/>
        <v>23.933333333333334</v>
      </c>
      <c r="BI99" s="91"/>
      <c r="BJ99" s="99">
        <v>0</v>
      </c>
      <c r="BK99" s="94">
        <v>40690</v>
      </c>
      <c r="BL99" s="12">
        <v>40690</v>
      </c>
      <c r="BM99" s="72">
        <f t="shared" si="85"/>
        <v>0</v>
      </c>
      <c r="BN99" s="49">
        <f t="shared" si="104"/>
        <v>1</v>
      </c>
      <c r="BO99" s="16">
        <f t="shared" si="105"/>
        <v>53</v>
      </c>
      <c r="BP99" s="5">
        <v>0</v>
      </c>
      <c r="BQ99" s="7">
        <f>+VLOOKUP(BL99,AP53:AZ114,9)</f>
        <v>1484.1225626740948</v>
      </c>
      <c r="BR99" s="7"/>
      <c r="BS99" s="7">
        <f t="shared" si="120"/>
        <v>1484.1225626740948</v>
      </c>
      <c r="BT99">
        <f t="shared" si="119"/>
        <v>3.2</v>
      </c>
      <c r="BU99">
        <f>+BU98</f>
        <v>20</v>
      </c>
      <c r="BV99" s="6">
        <f t="shared" si="86"/>
        <v>29.682451253481894</v>
      </c>
      <c r="BW99" s="6">
        <f t="shared" si="87"/>
        <v>0</v>
      </c>
      <c r="BX99" s="5">
        <f t="shared" si="88"/>
        <v>29.682451253481894</v>
      </c>
      <c r="BY99" s="5">
        <f t="shared" si="89"/>
        <v>9.2757660167130904</v>
      </c>
      <c r="BZ99" s="5">
        <f t="shared" si="90"/>
        <v>9.2757660167130904</v>
      </c>
      <c r="CA99" s="5">
        <f t="shared" si="91"/>
        <v>29.682451253481894</v>
      </c>
      <c r="CB99" s="7">
        <f t="shared" si="106"/>
        <v>314.50545231203034</v>
      </c>
      <c r="CC99" s="5">
        <f t="shared" si="107"/>
        <v>1.3970419475286413</v>
      </c>
      <c r="CD99" s="7">
        <f t="shared" si="121"/>
        <v>63</v>
      </c>
      <c r="CE99" s="5">
        <f t="shared" si="108"/>
        <v>115.1453546910755</v>
      </c>
      <c r="CF99" s="5">
        <f t="shared" si="109"/>
        <v>1235.1665510810597</v>
      </c>
      <c r="CG99">
        <f t="shared" si="74"/>
        <v>63</v>
      </c>
      <c r="CH99" s="5">
        <f t="shared" si="110"/>
        <v>105.05189931350112</v>
      </c>
      <c r="CI99" s="5">
        <f t="shared" si="111"/>
        <v>1074.7420864374967</v>
      </c>
      <c r="CJ99" s="5">
        <f t="shared" si="112"/>
        <v>1.0960806557856986</v>
      </c>
      <c r="CK99" s="5">
        <f t="shared" si="113"/>
        <v>1.1492678724207499</v>
      </c>
      <c r="CL99" s="5"/>
      <c r="CM99" s="5"/>
      <c r="CN99" s="5"/>
      <c r="CO99" s="51"/>
      <c r="CQ99" s="51"/>
      <c r="CR99" s="6"/>
      <c r="CT99" s="4"/>
      <c r="CU99" s="7"/>
      <c r="CX99" s="7"/>
      <c r="DA99" s="5"/>
      <c r="DB99" s="126"/>
      <c r="DC99" s="127"/>
      <c r="DD99" s="129"/>
      <c r="DE99" s="17"/>
      <c r="DF99" s="128"/>
      <c r="DG99" s="128"/>
      <c r="DH99" s="87"/>
      <c r="DI99" s="17"/>
      <c r="DJ99" s="128"/>
      <c r="DK99" s="87"/>
      <c r="DL99" s="17"/>
      <c r="DM99" s="87"/>
      <c r="DN99" s="87"/>
      <c r="DO99" s="87"/>
      <c r="DP99" s="87"/>
      <c r="DQ99" s="17"/>
      <c r="DR99" s="17"/>
      <c r="DU99" s="5"/>
      <c r="DV99" s="7"/>
      <c r="DX99" s="7"/>
      <c r="DY99" s="7"/>
      <c r="DZ99" s="5"/>
    </row>
    <row r="100" spans="3:130">
      <c r="E100" s="39"/>
      <c r="F100" s="48"/>
      <c r="G100" s="4"/>
      <c r="H100" s="7"/>
      <c r="I100" s="48"/>
      <c r="J100" s="5">
        <v>1.5429999999999999</v>
      </c>
      <c r="K100" s="76">
        <f t="shared" si="118"/>
        <v>1543</v>
      </c>
      <c r="L100" s="107">
        <v>40699</v>
      </c>
      <c r="M100" s="76">
        <v>1543.3</v>
      </c>
      <c r="N100" s="104">
        <v>40699</v>
      </c>
      <c r="O100" s="81">
        <v>40699</v>
      </c>
      <c r="P100" s="23">
        <v>1543</v>
      </c>
      <c r="Q100" s="24">
        <f t="shared" si="92"/>
        <v>1</v>
      </c>
      <c r="R100" s="114">
        <f t="shared" si="93"/>
        <v>62</v>
      </c>
      <c r="S100" s="39">
        <f t="shared" si="75"/>
        <v>1.5429999999999999</v>
      </c>
      <c r="T100" s="5">
        <f t="shared" si="76"/>
        <v>27.774000000000001</v>
      </c>
      <c r="U100" s="7">
        <f t="shared" si="77"/>
        <v>2039.1099123398515</v>
      </c>
      <c r="V100">
        <f t="shared" si="114"/>
        <v>3.2</v>
      </c>
      <c r="W100" s="77">
        <f t="shared" si="122"/>
        <v>60</v>
      </c>
      <c r="X100" s="6">
        <f t="shared" si="94"/>
        <v>122.34659474039108</v>
      </c>
      <c r="Y100" s="6">
        <f t="shared" si="95"/>
        <v>3.1463465947403906</v>
      </c>
      <c r="Z100" s="5">
        <f t="shared" si="115"/>
        <v>119.20024814565069</v>
      </c>
      <c r="AA100" s="113">
        <f t="shared" si="78"/>
        <v>37.250077545515836</v>
      </c>
      <c r="AB100" s="5">
        <f t="shared" si="96"/>
        <v>37.250077545515836</v>
      </c>
      <c r="AC100" s="80">
        <f t="shared" si="97"/>
        <v>122.34659474039108</v>
      </c>
      <c r="AD100" s="5">
        <f t="shared" si="98"/>
        <v>24.626052306425038</v>
      </c>
      <c r="AE100" s="5">
        <f t="shared" si="99"/>
        <v>4.9376000000000007</v>
      </c>
      <c r="AF100" s="5">
        <f t="shared" si="100"/>
        <v>3.146346594740391</v>
      </c>
      <c r="AG100" s="7">
        <f t="shared" si="79"/>
        <v>24626.052306425037</v>
      </c>
      <c r="AH100" s="5">
        <f t="shared" si="101"/>
        <v>119.20024814565069</v>
      </c>
      <c r="AI100" s="7">
        <f t="shared" si="102"/>
        <v>37250.077545515836</v>
      </c>
      <c r="AJ100" s="6">
        <f t="shared" si="103"/>
        <v>119.20024814565069</v>
      </c>
      <c r="AK100" s="7">
        <f t="shared" si="116"/>
        <v>969.69018712399554</v>
      </c>
      <c r="AL100" s="7"/>
      <c r="AM100" s="7"/>
      <c r="AO100" s="18"/>
      <c r="AP100" s="4">
        <f t="shared" si="117"/>
        <v>40691</v>
      </c>
      <c r="AQ100" s="36">
        <v>0.58333333333333337</v>
      </c>
      <c r="AR100">
        <v>4000</v>
      </c>
      <c r="AT100" s="4">
        <v>40692</v>
      </c>
      <c r="AU100" s="36">
        <v>0.41666666666666669</v>
      </c>
      <c r="AV100">
        <v>3000</v>
      </c>
      <c r="AX100" s="45">
        <f t="shared" si="80"/>
        <v>1200</v>
      </c>
      <c r="AY100" s="45">
        <f t="shared" si="81"/>
        <v>0</v>
      </c>
      <c r="AZ100" s="7">
        <f t="shared" si="82"/>
        <v>1200</v>
      </c>
      <c r="BA100" s="18">
        <f t="shared" si="83"/>
        <v>1</v>
      </c>
      <c r="BB100" s="6">
        <f t="shared" si="84"/>
        <v>20</v>
      </c>
      <c r="BI100" s="91"/>
      <c r="BJ100" s="99">
        <v>0</v>
      </c>
      <c r="BK100" s="94">
        <v>40691</v>
      </c>
      <c r="BL100" s="12">
        <v>40691</v>
      </c>
      <c r="BM100" s="72">
        <f t="shared" si="85"/>
        <v>0</v>
      </c>
      <c r="BN100" s="49">
        <f t="shared" si="104"/>
        <v>1</v>
      </c>
      <c r="BO100" s="16">
        <f t="shared" si="105"/>
        <v>54</v>
      </c>
      <c r="BP100" s="5">
        <v>0</v>
      </c>
      <c r="BQ100" s="7">
        <f>+VLOOKUP(BL100,AP54:AZ97,9)</f>
        <v>1480.1762114537446</v>
      </c>
      <c r="BR100" s="7"/>
      <c r="BS100" s="7">
        <f t="shared" si="120"/>
        <v>1480.1762114537446</v>
      </c>
      <c r="BT100">
        <f t="shared" si="119"/>
        <v>3.2</v>
      </c>
      <c r="BU100">
        <v>30</v>
      </c>
      <c r="BV100" s="6">
        <f t="shared" si="86"/>
        <v>44.405286343612339</v>
      </c>
      <c r="BW100" s="6">
        <f t="shared" si="87"/>
        <v>0</v>
      </c>
      <c r="BX100" s="5">
        <f t="shared" si="88"/>
        <v>44.405286343612339</v>
      </c>
      <c r="BY100" s="5">
        <f t="shared" si="89"/>
        <v>13.876651982378855</v>
      </c>
      <c r="BZ100" s="5">
        <f t="shared" si="90"/>
        <v>13.876651982378855</v>
      </c>
      <c r="CA100" s="5">
        <f t="shared" si="91"/>
        <v>44.405286343612339</v>
      </c>
      <c r="CB100" s="7">
        <f t="shared" si="106"/>
        <v>358.91073865564266</v>
      </c>
      <c r="CC100" s="5">
        <f t="shared" si="107"/>
        <v>1.3856839939690675</v>
      </c>
      <c r="CD100" s="7">
        <f t="shared" si="121"/>
        <v>64</v>
      </c>
      <c r="CE100" s="5">
        <f t="shared" si="108"/>
        <v>128.81942068965517</v>
      </c>
      <c r="CF100" s="5">
        <f t="shared" si="109"/>
        <v>1364.2699993569217</v>
      </c>
      <c r="CG100">
        <f t="shared" si="74"/>
        <v>64</v>
      </c>
      <c r="CH100" s="5">
        <f t="shared" si="110"/>
        <v>119.78951668965517</v>
      </c>
      <c r="CI100" s="5">
        <f t="shared" si="111"/>
        <v>1194.5316031271518</v>
      </c>
      <c r="CJ100" s="5">
        <f t="shared" si="112"/>
        <v>1.0753814210920829</v>
      </c>
      <c r="CK100" s="5">
        <f t="shared" si="113"/>
        <v>1.1420961955174844</v>
      </c>
      <c r="CL100" s="5"/>
      <c r="CM100" s="5"/>
      <c r="CN100" s="5"/>
      <c r="CO100" s="51"/>
      <c r="CQ100" s="51"/>
      <c r="CR100" s="6"/>
      <c r="CT100" s="4"/>
      <c r="CU100" s="7"/>
      <c r="CX100" s="7"/>
      <c r="DA100" s="5"/>
      <c r="DB100" s="126"/>
      <c r="DC100" s="127"/>
      <c r="DD100" s="129"/>
      <c r="DE100" s="17"/>
      <c r="DF100" s="128"/>
      <c r="DG100" s="128"/>
      <c r="DH100" s="87"/>
      <c r="DI100" s="17"/>
      <c r="DJ100" s="128"/>
      <c r="DK100" s="87"/>
      <c r="DL100" s="17"/>
      <c r="DM100" s="87"/>
      <c r="DN100" s="87"/>
      <c r="DO100" s="87"/>
      <c r="DP100" s="87"/>
      <c r="DQ100" s="17"/>
      <c r="DR100" s="17"/>
      <c r="DU100" s="5"/>
      <c r="DV100" s="7"/>
      <c r="DX100" s="7"/>
      <c r="DY100" s="7"/>
      <c r="DZ100" s="5"/>
    </row>
    <row r="101" spans="3:130">
      <c r="E101" s="39"/>
      <c r="F101" s="48"/>
      <c r="G101" s="4"/>
      <c r="H101" s="7"/>
      <c r="I101" s="48"/>
      <c r="J101" s="5">
        <v>5.3479999999999999</v>
      </c>
      <c r="K101" s="76">
        <f t="shared" si="118"/>
        <v>5348</v>
      </c>
      <c r="L101" s="107">
        <v>40700</v>
      </c>
      <c r="M101" s="76">
        <v>5348.8</v>
      </c>
      <c r="N101" s="104">
        <v>40700</v>
      </c>
      <c r="O101" s="81">
        <v>40700</v>
      </c>
      <c r="P101" s="23">
        <v>5348</v>
      </c>
      <c r="Q101" s="24">
        <f t="shared" si="92"/>
        <v>1</v>
      </c>
      <c r="R101" s="114">
        <f t="shared" si="93"/>
        <v>63</v>
      </c>
      <c r="S101" s="39">
        <f t="shared" si="75"/>
        <v>5.3479999999999999</v>
      </c>
      <c r="T101" s="5">
        <f t="shared" si="76"/>
        <v>96.263999999999996</v>
      </c>
      <c r="U101" s="7">
        <f t="shared" si="77"/>
        <v>1922.1967963386724</v>
      </c>
      <c r="V101">
        <f t="shared" si="114"/>
        <v>3.2</v>
      </c>
      <c r="W101" s="77">
        <f t="shared" si="122"/>
        <v>60</v>
      </c>
      <c r="X101" s="6">
        <f t="shared" si="94"/>
        <v>115.33180778032035</v>
      </c>
      <c r="Y101" s="6">
        <f t="shared" si="95"/>
        <v>10.279908466819219</v>
      </c>
      <c r="Z101" s="5">
        <f t="shared" si="115"/>
        <v>105.05189931350112</v>
      </c>
      <c r="AA101" s="113">
        <f t="shared" si="78"/>
        <v>32.8287185354691</v>
      </c>
      <c r="AB101" s="5">
        <f t="shared" si="96"/>
        <v>32.8287185354691</v>
      </c>
      <c r="AC101" s="80">
        <f t="shared" si="97"/>
        <v>115.33180778032035</v>
      </c>
      <c r="AD101" s="5">
        <f t="shared" si="98"/>
        <v>23.480044317369551</v>
      </c>
      <c r="AE101" s="5">
        <f t="shared" si="99"/>
        <v>17.113600000000002</v>
      </c>
      <c r="AF101" s="5">
        <f t="shared" si="100"/>
        <v>10.279908466819219</v>
      </c>
      <c r="AG101" s="7">
        <f t="shared" si="79"/>
        <v>23480.044317369549</v>
      </c>
      <c r="AH101" s="5">
        <f t="shared" si="101"/>
        <v>105.05189931350112</v>
      </c>
      <c r="AI101" s="7">
        <f t="shared" si="102"/>
        <v>32828.718535469103</v>
      </c>
      <c r="AJ101" s="6">
        <f t="shared" si="103"/>
        <v>105.05189931350112</v>
      </c>
      <c r="AK101" s="7">
        <f t="shared" si="116"/>
        <v>1074.7420864374967</v>
      </c>
      <c r="AL101" s="7"/>
      <c r="AM101" s="7"/>
      <c r="AO101" s="18"/>
      <c r="AP101" s="4">
        <f t="shared" si="117"/>
        <v>40692</v>
      </c>
      <c r="AQ101" s="36">
        <v>0.59791666666666665</v>
      </c>
      <c r="AR101">
        <f>+AV100</f>
        <v>3000</v>
      </c>
      <c r="AT101" s="4">
        <v>40693</v>
      </c>
      <c r="AU101" s="36">
        <v>0.41666666666666669</v>
      </c>
      <c r="AV101">
        <v>1950</v>
      </c>
      <c r="AX101" s="45">
        <f t="shared" si="80"/>
        <v>1282.4427480916031</v>
      </c>
      <c r="AY101" s="45">
        <f t="shared" si="81"/>
        <v>0</v>
      </c>
      <c r="AZ101" s="7">
        <f t="shared" si="82"/>
        <v>1282.4427480916031</v>
      </c>
      <c r="BA101" s="18">
        <f t="shared" si="83"/>
        <v>1</v>
      </c>
      <c r="BB101" s="6">
        <f t="shared" si="84"/>
        <v>19.649999999999999</v>
      </c>
      <c r="BI101" s="91"/>
      <c r="BJ101" s="99">
        <v>1.288</v>
      </c>
      <c r="BK101" s="94">
        <v>40692</v>
      </c>
      <c r="BL101" s="12">
        <v>40692</v>
      </c>
      <c r="BM101" s="72">
        <f t="shared" si="85"/>
        <v>28</v>
      </c>
      <c r="BN101" s="49">
        <f t="shared" si="104"/>
        <v>1</v>
      </c>
      <c r="BO101" s="16">
        <f t="shared" si="105"/>
        <v>55</v>
      </c>
      <c r="BP101" s="5">
        <f>+BJ101</f>
        <v>1.288</v>
      </c>
      <c r="BQ101" s="7">
        <f t="shared" ref="BQ101:BQ109" si="123">+VLOOKUP(BL101,AP55:AZ112,9)</f>
        <v>1282.4427480916031</v>
      </c>
      <c r="BR101" s="7"/>
      <c r="BS101" s="7">
        <f t="shared" si="120"/>
        <v>1282.4427480916031</v>
      </c>
      <c r="BT101">
        <f t="shared" si="119"/>
        <v>3.2</v>
      </c>
      <c r="BU101">
        <v>40</v>
      </c>
      <c r="BV101" s="6">
        <f t="shared" si="86"/>
        <v>51.297709923664122</v>
      </c>
      <c r="BW101" s="6">
        <f t="shared" si="87"/>
        <v>3.5908396946564884E-2</v>
      </c>
      <c r="BX101" s="5">
        <f t="shared" si="88"/>
        <v>51.261801526717555</v>
      </c>
      <c r="BY101" s="5">
        <f t="shared" si="89"/>
        <v>16.019312977099236</v>
      </c>
      <c r="BZ101" s="5">
        <f t="shared" si="90"/>
        <v>16.019312977099236</v>
      </c>
      <c r="CA101" s="5">
        <f t="shared" si="91"/>
        <v>51.297709923664122</v>
      </c>
      <c r="CB101" s="7">
        <f t="shared" si="106"/>
        <v>410.20844857930678</v>
      </c>
      <c r="CC101" s="5">
        <f t="shared" si="107"/>
        <v>1.3282180864007398</v>
      </c>
      <c r="CD101" s="7">
        <f t="shared" si="121"/>
        <v>65</v>
      </c>
      <c r="CE101" s="5">
        <f t="shared" si="108"/>
        <v>140.73679999999999</v>
      </c>
      <c r="CF101" s="5">
        <f t="shared" si="109"/>
        <v>1505.2699993569217</v>
      </c>
      <c r="CG101">
        <f t="shared" si="74"/>
        <v>65</v>
      </c>
      <c r="CH101" s="5">
        <f t="shared" si="110"/>
        <v>122.012</v>
      </c>
      <c r="CI101" s="5">
        <f t="shared" si="111"/>
        <v>1316.5436031271518</v>
      </c>
      <c r="CJ101" s="5">
        <f t="shared" si="112"/>
        <v>1.1534668721109398</v>
      </c>
      <c r="CK101" s="5">
        <f t="shared" si="113"/>
        <v>1.143349901804614</v>
      </c>
      <c r="CL101" s="5"/>
      <c r="CM101" s="5"/>
      <c r="CN101" s="5"/>
      <c r="CO101" s="51"/>
      <c r="CQ101" s="51"/>
      <c r="CR101" s="6"/>
      <c r="CT101" s="4"/>
      <c r="CU101" s="7"/>
      <c r="CX101" s="7"/>
      <c r="DA101" s="5"/>
      <c r="DB101" s="126"/>
      <c r="DC101" s="127"/>
      <c r="DD101" s="129"/>
      <c r="DE101" s="17"/>
      <c r="DF101" s="128"/>
      <c r="DG101" s="128"/>
      <c r="DH101" s="87"/>
      <c r="DI101" s="17"/>
      <c r="DJ101" s="128"/>
      <c r="DK101" s="87"/>
      <c r="DL101" s="17"/>
      <c r="DM101" s="87"/>
      <c r="DN101" s="87"/>
      <c r="DO101" s="87"/>
      <c r="DP101" s="87"/>
      <c r="DQ101" s="17"/>
      <c r="DR101" s="17"/>
      <c r="DU101" s="5"/>
      <c r="DV101" s="7"/>
      <c r="DX101" s="7"/>
      <c r="DY101" s="7"/>
      <c r="DZ101" s="5"/>
    </row>
    <row r="102" spans="3:130">
      <c r="E102" s="39"/>
      <c r="F102" s="48"/>
      <c r="G102" s="4"/>
      <c r="H102" s="7"/>
      <c r="I102" s="48"/>
      <c r="J102" s="5"/>
      <c r="K102" s="76">
        <f t="shared" si="118"/>
        <v>0</v>
      </c>
      <c r="L102" s="107">
        <v>40701</v>
      </c>
      <c r="M102" s="76">
        <v>43285.9</v>
      </c>
      <c r="N102" s="104">
        <v>40701</v>
      </c>
      <c r="O102" s="81">
        <v>40701</v>
      </c>
      <c r="P102" s="23">
        <v>4328.59</v>
      </c>
      <c r="Q102" s="24">
        <f t="shared" si="92"/>
        <v>1</v>
      </c>
      <c r="R102" s="114">
        <f t="shared" si="93"/>
        <v>64</v>
      </c>
      <c r="S102" s="39">
        <f t="shared" si="75"/>
        <v>4.3285900000000002</v>
      </c>
      <c r="T102" s="5">
        <f t="shared" si="76"/>
        <v>77.914619999999999</v>
      </c>
      <c r="U102" s="7">
        <f t="shared" si="77"/>
        <v>2151.7241379310344</v>
      </c>
      <c r="V102">
        <f t="shared" si="114"/>
        <v>3.2</v>
      </c>
      <c r="W102" s="77">
        <f t="shared" si="122"/>
        <v>60</v>
      </c>
      <c r="X102" s="6">
        <f t="shared" si="94"/>
        <v>129.10344827586206</v>
      </c>
      <c r="Y102" s="6">
        <f t="shared" si="95"/>
        <v>9.3139315862068965</v>
      </c>
      <c r="Z102" s="5">
        <f t="shared" si="115"/>
        <v>119.78951668965517</v>
      </c>
      <c r="AA102" s="113">
        <f t="shared" si="78"/>
        <v>37.434223965517241</v>
      </c>
      <c r="AB102" s="5">
        <f t="shared" si="96"/>
        <v>37.434223965517241</v>
      </c>
      <c r="AC102" s="80">
        <f t="shared" si="97"/>
        <v>129.10344827586206</v>
      </c>
      <c r="AD102" s="5">
        <f t="shared" si="98"/>
        <v>27.321484536082473</v>
      </c>
      <c r="AE102" s="5">
        <f t="shared" si="99"/>
        <v>13.851488000000002</v>
      </c>
      <c r="AF102" s="5">
        <f t="shared" si="100"/>
        <v>9.3139315862068965</v>
      </c>
      <c r="AG102" s="7">
        <f t="shared" si="79"/>
        <v>27321.484536082473</v>
      </c>
      <c r="AH102" s="5">
        <f t="shared" si="101"/>
        <v>119.78951668965517</v>
      </c>
      <c r="AI102" s="7">
        <f t="shared" si="102"/>
        <v>37434.223965517238</v>
      </c>
      <c r="AJ102" s="6">
        <f t="shared" si="103"/>
        <v>119.78951668965517</v>
      </c>
      <c r="AK102" s="7">
        <f t="shared" si="116"/>
        <v>1194.5316031271518</v>
      </c>
      <c r="AL102" s="7"/>
      <c r="AM102" s="7"/>
      <c r="AO102" s="18"/>
      <c r="AP102" s="4">
        <f t="shared" si="117"/>
        <v>40693</v>
      </c>
      <c r="AQ102" s="36">
        <v>0.86805555555555547</v>
      </c>
      <c r="AR102">
        <v>3900</v>
      </c>
      <c r="AT102" s="4">
        <v>40694</v>
      </c>
      <c r="AU102" s="36">
        <v>0.34722222222222227</v>
      </c>
      <c r="AV102">
        <v>3400</v>
      </c>
      <c r="AX102" s="45">
        <f t="shared" si="80"/>
        <v>1043.478260869565</v>
      </c>
      <c r="AY102" s="45">
        <f t="shared" si="81"/>
        <v>0</v>
      </c>
      <c r="AZ102" s="7">
        <f t="shared" si="82"/>
        <v>1043.478260869565</v>
      </c>
      <c r="BA102" s="18">
        <f t="shared" si="83"/>
        <v>1</v>
      </c>
      <c r="BB102" s="6">
        <f t="shared" si="84"/>
        <v>11.500000000000002</v>
      </c>
      <c r="BI102" s="91"/>
      <c r="BJ102" s="27"/>
      <c r="BK102" s="21"/>
      <c r="BL102" s="12">
        <v>40693</v>
      </c>
      <c r="BM102" s="72">
        <f t="shared" si="85"/>
        <v>43.478260869565219</v>
      </c>
      <c r="BN102" s="49">
        <f t="shared" si="104"/>
        <v>1</v>
      </c>
      <c r="BO102" s="16">
        <f t="shared" si="105"/>
        <v>56</v>
      </c>
      <c r="BP102" s="5">
        <v>2</v>
      </c>
      <c r="BQ102" s="7">
        <f t="shared" si="123"/>
        <v>1043.478260869565</v>
      </c>
      <c r="BR102" s="7"/>
      <c r="BS102" s="7">
        <f t="shared" si="120"/>
        <v>1043.478260869565</v>
      </c>
      <c r="BT102">
        <f t="shared" si="119"/>
        <v>3.2</v>
      </c>
      <c r="BU102">
        <f>+BU101</f>
        <v>40</v>
      </c>
      <c r="BV102" s="6">
        <f t="shared" si="86"/>
        <v>41.739130434782602</v>
      </c>
      <c r="BW102" s="6">
        <f t="shared" si="87"/>
        <v>4.5368620037807172E-2</v>
      </c>
      <c r="BX102" s="5">
        <f t="shared" si="88"/>
        <v>41.693761814744796</v>
      </c>
      <c r="BY102" s="5">
        <f t="shared" si="89"/>
        <v>13.029300567107748</v>
      </c>
      <c r="BZ102" s="5">
        <f t="shared" si="90"/>
        <v>13.029300567107748</v>
      </c>
      <c r="CA102" s="5">
        <f t="shared" si="91"/>
        <v>41.739130434782602</v>
      </c>
      <c r="CB102" s="7">
        <f t="shared" si="106"/>
        <v>451.9475790140894</v>
      </c>
      <c r="CC102" s="5">
        <f t="shared" si="107"/>
        <v>1.4633656391781655</v>
      </c>
      <c r="CD102" s="7">
        <f t="shared" si="121"/>
        <v>67</v>
      </c>
      <c r="CE102" s="5">
        <f t="shared" si="108"/>
        <v>143.88619539316915</v>
      </c>
      <c r="CF102" s="5">
        <f t="shared" si="109"/>
        <v>1793.4987523354762</v>
      </c>
      <c r="CG102">
        <f t="shared" si="74"/>
        <v>67</v>
      </c>
      <c r="CH102" s="5">
        <f t="shared" si="110"/>
        <v>125.8839078633836</v>
      </c>
      <c r="CI102" s="5">
        <f t="shared" si="111"/>
        <v>1568.3114188539189</v>
      </c>
      <c r="CJ102" s="5">
        <f t="shared" si="112"/>
        <v>1.1430070597214272</v>
      </c>
      <c r="CK102" s="5">
        <f t="shared" si="113"/>
        <v>1.1435858534053895</v>
      </c>
      <c r="CL102" s="5"/>
      <c r="CM102" s="5"/>
      <c r="CN102" s="5"/>
      <c r="CO102" s="51"/>
      <c r="CQ102" s="51"/>
      <c r="CR102" s="6"/>
      <c r="CT102" s="4"/>
      <c r="CU102" s="7"/>
      <c r="CX102" s="7"/>
      <c r="DA102" s="5"/>
      <c r="DB102" s="126"/>
      <c r="DC102" s="127"/>
      <c r="DD102" s="129"/>
      <c r="DE102" s="17"/>
      <c r="DF102" s="128"/>
      <c r="DG102" s="128"/>
      <c r="DH102" s="87"/>
      <c r="DI102" s="17"/>
      <c r="DJ102" s="128"/>
      <c r="DK102" s="87"/>
      <c r="DL102" s="17"/>
      <c r="DM102" s="87"/>
      <c r="DN102" s="87"/>
      <c r="DO102" s="87"/>
      <c r="DP102" s="87"/>
      <c r="DQ102" s="17"/>
      <c r="DR102" s="17"/>
      <c r="DU102" s="5"/>
      <c r="DV102" s="7"/>
      <c r="DX102" s="7"/>
      <c r="DY102" s="7"/>
      <c r="DZ102" s="5"/>
    </row>
    <row r="103" spans="3:130">
      <c r="E103" s="39"/>
      <c r="F103" s="48"/>
      <c r="G103" s="4"/>
      <c r="H103" s="7"/>
      <c r="I103" s="48"/>
      <c r="J103" s="5">
        <v>8.08</v>
      </c>
      <c r="K103" s="76">
        <f t="shared" si="118"/>
        <v>8080</v>
      </c>
      <c r="L103" s="107">
        <v>40702</v>
      </c>
      <c r="M103" s="76">
        <v>8080.7</v>
      </c>
      <c r="N103" s="104">
        <v>40702</v>
      </c>
      <c r="O103" s="81">
        <v>40702</v>
      </c>
      <c r="P103" s="23">
        <v>8080</v>
      </c>
      <c r="Q103" s="24">
        <f t="shared" si="92"/>
        <v>1</v>
      </c>
      <c r="R103" s="114">
        <f t="shared" si="93"/>
        <v>65</v>
      </c>
      <c r="S103" s="39">
        <f t="shared" si="75"/>
        <v>8.08</v>
      </c>
      <c r="T103" s="5">
        <f t="shared" si="76"/>
        <v>145.44</v>
      </c>
      <c r="U103" s="7">
        <f t="shared" si="77"/>
        <v>2350</v>
      </c>
      <c r="V103">
        <f t="shared" si="114"/>
        <v>3.2</v>
      </c>
      <c r="W103" s="77">
        <f t="shared" si="122"/>
        <v>60</v>
      </c>
      <c r="X103" s="6">
        <f t="shared" si="94"/>
        <v>141</v>
      </c>
      <c r="Y103" s="6">
        <f t="shared" si="95"/>
        <v>18.988</v>
      </c>
      <c r="Z103" s="5">
        <f t="shared" si="115"/>
        <v>122.012</v>
      </c>
      <c r="AA103" s="113">
        <f t="shared" si="78"/>
        <v>38.128749999999997</v>
      </c>
      <c r="AB103" s="5">
        <f t="shared" si="96"/>
        <v>38.128749999999997</v>
      </c>
      <c r="AC103" s="80">
        <f t="shared" si="97"/>
        <v>141</v>
      </c>
      <c r="AD103" s="5">
        <f t="shared" si="98"/>
        <v>27.901169009009003</v>
      </c>
      <c r="AE103" s="5">
        <f t="shared" si="99"/>
        <v>25.856000000000002</v>
      </c>
      <c r="AF103" s="5">
        <f t="shared" si="100"/>
        <v>18.988</v>
      </c>
      <c r="AG103" s="7">
        <f t="shared" si="79"/>
        <v>27901.169009009001</v>
      </c>
      <c r="AH103" s="5">
        <f t="shared" si="101"/>
        <v>122.012</v>
      </c>
      <c r="AI103" s="7">
        <f t="shared" si="102"/>
        <v>38128.75</v>
      </c>
      <c r="AJ103" s="6">
        <f t="shared" si="103"/>
        <v>122.012</v>
      </c>
      <c r="AK103" s="7">
        <f t="shared" si="116"/>
        <v>1316.5436031271518</v>
      </c>
      <c r="AL103" s="7"/>
      <c r="AM103" s="7"/>
      <c r="AO103" s="18"/>
      <c r="AP103" s="4">
        <f t="shared" si="117"/>
        <v>40694</v>
      </c>
      <c r="AQ103" s="36">
        <f>+AU102</f>
        <v>0.34722222222222227</v>
      </c>
      <c r="AR103">
        <f>+AV102</f>
        <v>3400</v>
      </c>
      <c r="AT103" s="4">
        <v>40695</v>
      </c>
      <c r="AU103" s="36">
        <v>0.41319444444444442</v>
      </c>
      <c r="AV103">
        <v>1600</v>
      </c>
      <c r="AX103" s="45">
        <f t="shared" si="80"/>
        <v>1688.5993485342019</v>
      </c>
      <c r="AY103" s="45">
        <f t="shared" si="81"/>
        <v>0</v>
      </c>
      <c r="AZ103" s="7">
        <f t="shared" si="82"/>
        <v>1688.5993485342019</v>
      </c>
      <c r="BA103" s="18">
        <f t="shared" si="83"/>
        <v>1</v>
      </c>
      <c r="BB103" s="6">
        <f t="shared" si="84"/>
        <v>25.583333333333332</v>
      </c>
      <c r="BI103" s="91"/>
      <c r="BJ103" s="99">
        <v>0</v>
      </c>
      <c r="BK103" s="94">
        <v>40694</v>
      </c>
      <c r="BL103" s="12">
        <v>40694</v>
      </c>
      <c r="BM103" s="72">
        <f t="shared" si="85"/>
        <v>0</v>
      </c>
      <c r="BN103" s="49">
        <f t="shared" si="104"/>
        <v>1</v>
      </c>
      <c r="BO103" s="16">
        <f t="shared" si="105"/>
        <v>57</v>
      </c>
      <c r="BP103" s="5">
        <f>+BJ103</f>
        <v>0</v>
      </c>
      <c r="BQ103" s="7">
        <f t="shared" si="123"/>
        <v>1688.5993485342019</v>
      </c>
      <c r="BR103" s="7"/>
      <c r="BS103" s="7">
        <f t="shared" si="120"/>
        <v>1688.5993485342019</v>
      </c>
      <c r="BT103">
        <f t="shared" si="119"/>
        <v>3.2</v>
      </c>
      <c r="BU103">
        <v>60</v>
      </c>
      <c r="BV103" s="6">
        <f t="shared" si="86"/>
        <v>101.31596091205212</v>
      </c>
      <c r="BW103" s="6">
        <f t="shared" si="87"/>
        <v>0</v>
      </c>
      <c r="BX103" s="5">
        <f t="shared" si="88"/>
        <v>101.31596091205212</v>
      </c>
      <c r="BY103" s="5">
        <f t="shared" si="89"/>
        <v>31.661237785016286</v>
      </c>
      <c r="BZ103" s="5">
        <f t="shared" si="90"/>
        <v>31.661237785016286</v>
      </c>
      <c r="CA103" s="5">
        <f t="shared" si="91"/>
        <v>101.31596091205212</v>
      </c>
      <c r="CB103" s="7">
        <f t="shared" si="106"/>
        <v>553.26353992614156</v>
      </c>
      <c r="CC103" s="5">
        <f t="shared" si="107"/>
        <v>1.2753232809193407</v>
      </c>
      <c r="CD103" s="7">
        <f t="shared" si="121"/>
        <v>68</v>
      </c>
      <c r="CE103" s="5">
        <f t="shared" si="108"/>
        <v>117.47110808973487</v>
      </c>
      <c r="CF103" s="5">
        <f t="shared" si="109"/>
        <v>1910.969860425211</v>
      </c>
      <c r="CG103">
        <f t="shared" si="74"/>
        <v>68</v>
      </c>
      <c r="CH103" s="5">
        <f t="shared" si="110"/>
        <v>110.97104010876954</v>
      </c>
      <c r="CI103" s="5">
        <f t="shared" si="111"/>
        <v>1679.2824589626885</v>
      </c>
      <c r="CJ103" s="5">
        <f t="shared" si="112"/>
        <v>1.058574453069866</v>
      </c>
      <c r="CK103" s="5">
        <f t="shared" si="113"/>
        <v>1.1379680947811712</v>
      </c>
      <c r="CL103" s="5"/>
      <c r="CM103" s="5"/>
      <c r="CN103" s="5"/>
      <c r="CO103" s="51"/>
      <c r="CQ103" s="51"/>
      <c r="CR103" s="6"/>
      <c r="CT103" s="4"/>
      <c r="CU103" s="7"/>
      <c r="CX103" s="7"/>
      <c r="DA103" s="5"/>
      <c r="DB103" s="126"/>
      <c r="DC103" s="127"/>
      <c r="DD103" s="129"/>
      <c r="DE103" s="17"/>
      <c r="DF103" s="128"/>
      <c r="DG103" s="128"/>
      <c r="DH103" s="87"/>
      <c r="DI103" s="17"/>
      <c r="DJ103" s="128"/>
      <c r="DK103" s="87"/>
      <c r="DL103" s="17"/>
      <c r="DM103" s="87"/>
      <c r="DN103" s="87"/>
      <c r="DO103" s="87"/>
      <c r="DP103" s="87"/>
      <c r="DQ103" s="17"/>
      <c r="DR103" s="17"/>
      <c r="DU103" s="5"/>
      <c r="DV103" s="7"/>
      <c r="DX103" s="7"/>
      <c r="DY103" s="7"/>
      <c r="DZ103" s="5"/>
    </row>
    <row r="104" spans="3:130">
      <c r="E104" s="39"/>
      <c r="F104" s="48"/>
      <c r="G104" s="4"/>
      <c r="H104" s="7"/>
      <c r="I104" s="48"/>
      <c r="J104" s="5">
        <v>7.59</v>
      </c>
      <c r="K104" s="76">
        <f t="shared" si="118"/>
        <v>7590</v>
      </c>
      <c r="L104" s="107">
        <v>40704</v>
      </c>
      <c r="M104" s="76">
        <v>7596.8</v>
      </c>
      <c r="N104" s="104">
        <v>40704</v>
      </c>
      <c r="O104" s="81">
        <v>40704</v>
      </c>
      <c r="P104" s="23">
        <v>7590</v>
      </c>
      <c r="Q104" s="24">
        <f t="shared" si="92"/>
        <v>2</v>
      </c>
      <c r="R104" s="114">
        <f t="shared" si="93"/>
        <v>67</v>
      </c>
      <c r="S104" s="39">
        <f t="shared" si="75"/>
        <v>7.59</v>
      </c>
      <c r="T104" s="5">
        <f t="shared" si="76"/>
        <v>136.62</v>
      </c>
      <c r="U104" s="7">
        <f t="shared" si="77"/>
        <v>2401.9062748212864</v>
      </c>
      <c r="V104">
        <f t="shared" si="114"/>
        <v>3.2</v>
      </c>
      <c r="W104" s="77">
        <f t="shared" si="122"/>
        <v>60</v>
      </c>
      <c r="X104" s="6">
        <f t="shared" si="94"/>
        <v>144.11437648927716</v>
      </c>
      <c r="Y104" s="6">
        <f t="shared" si="95"/>
        <v>18.230468625893565</v>
      </c>
      <c r="Z104" s="5">
        <f t="shared" si="115"/>
        <v>125.8839078633836</v>
      </c>
      <c r="AA104" s="113">
        <f t="shared" si="78"/>
        <v>39.338721207307373</v>
      </c>
      <c r="AB104" s="5">
        <f t="shared" si="96"/>
        <v>39.33872120730738</v>
      </c>
      <c r="AC104" s="80">
        <f t="shared" si="97"/>
        <v>144.11437648927716</v>
      </c>
      <c r="AD104" s="5">
        <f t="shared" si="98"/>
        <v>30.341524500907429</v>
      </c>
      <c r="AE104" s="5">
        <f t="shared" si="99"/>
        <v>24.288</v>
      </c>
      <c r="AF104" s="5">
        <f t="shared" si="100"/>
        <v>18.230468625893565</v>
      </c>
      <c r="AG104" s="7">
        <f t="shared" si="79"/>
        <v>30341.524500907428</v>
      </c>
      <c r="AH104" s="5">
        <f t="shared" si="101"/>
        <v>125.8839078633836</v>
      </c>
      <c r="AI104" s="7">
        <f t="shared" si="102"/>
        <v>39338.721207307375</v>
      </c>
      <c r="AJ104" s="6">
        <f t="shared" si="103"/>
        <v>251.7678157267672</v>
      </c>
      <c r="AK104" s="7">
        <f t="shared" si="116"/>
        <v>1568.3114188539189</v>
      </c>
      <c r="AL104" s="7"/>
      <c r="AM104" s="7"/>
      <c r="AO104" s="18"/>
      <c r="AP104" s="4">
        <f t="shared" si="117"/>
        <v>40695</v>
      </c>
      <c r="AQ104" s="36">
        <v>0.83333333333333337</v>
      </c>
      <c r="AR104">
        <v>3650</v>
      </c>
      <c r="AT104" s="4">
        <v>40696</v>
      </c>
      <c r="AU104" s="36">
        <v>0.44097222222222227</v>
      </c>
      <c r="AV104">
        <v>2800</v>
      </c>
      <c r="AX104" s="45">
        <f t="shared" si="80"/>
        <v>1398.8571428571427</v>
      </c>
      <c r="AY104" s="45">
        <f t="shared" si="81"/>
        <v>0</v>
      </c>
      <c r="AZ104" s="7">
        <f t="shared" si="82"/>
        <v>1398.8571428571427</v>
      </c>
      <c r="BA104" s="18">
        <f t="shared" si="83"/>
        <v>1</v>
      </c>
      <c r="BB104" s="6">
        <f t="shared" si="84"/>
        <v>14.583333333333336</v>
      </c>
      <c r="BI104" s="91"/>
      <c r="BJ104" s="27"/>
      <c r="BK104" s="21"/>
      <c r="BL104" s="12">
        <v>40695</v>
      </c>
      <c r="BM104" s="72">
        <f t="shared" si="85"/>
        <v>43.478260869565219</v>
      </c>
      <c r="BN104" s="49">
        <f t="shared" si="104"/>
        <v>1</v>
      </c>
      <c r="BO104" s="16">
        <f t="shared" si="105"/>
        <v>58</v>
      </c>
      <c r="BP104" s="5">
        <v>2</v>
      </c>
      <c r="BQ104" s="7">
        <f t="shared" si="123"/>
        <v>1398.8571428571427</v>
      </c>
      <c r="BR104" s="7"/>
      <c r="BS104" s="7">
        <f t="shared" si="120"/>
        <v>1398.8571428571427</v>
      </c>
      <c r="BT104">
        <f t="shared" si="119"/>
        <v>3.2</v>
      </c>
      <c r="BU104">
        <f t="shared" ref="BU104:BU151" si="124">+BU103</f>
        <v>60</v>
      </c>
      <c r="BV104" s="6">
        <f t="shared" si="86"/>
        <v>83.931428571428569</v>
      </c>
      <c r="BW104" s="6">
        <f t="shared" si="87"/>
        <v>6.0819875776397511E-2</v>
      </c>
      <c r="BX104" s="5">
        <f t="shared" si="88"/>
        <v>83.870608695652166</v>
      </c>
      <c r="BY104" s="5">
        <f t="shared" si="89"/>
        <v>26.209565217391301</v>
      </c>
      <c r="BZ104" s="5">
        <f t="shared" si="90"/>
        <v>26.209565217391301</v>
      </c>
      <c r="CA104" s="5">
        <f t="shared" si="91"/>
        <v>83.931428571428569</v>
      </c>
      <c r="CB104" s="7">
        <f t="shared" si="106"/>
        <v>637.19496849757013</v>
      </c>
      <c r="CC104" s="5">
        <f t="shared" si="107"/>
        <v>1.2431472647855006</v>
      </c>
      <c r="CD104" s="7">
        <f t="shared" si="121"/>
        <v>69</v>
      </c>
      <c r="CE104" s="5">
        <f t="shared" si="108"/>
        <v>165.24590163934425</v>
      </c>
      <c r="CF104" s="5">
        <f t="shared" si="109"/>
        <v>2076.2157620645553</v>
      </c>
      <c r="CG104">
        <f t="shared" si="74"/>
        <v>69</v>
      </c>
      <c r="CH104" s="5">
        <f t="shared" si="110"/>
        <v>157.86491803278687</v>
      </c>
      <c r="CI104" s="5">
        <f t="shared" si="111"/>
        <v>1837.1473769954753</v>
      </c>
      <c r="CJ104" s="5">
        <f t="shared" si="112"/>
        <v>1.0467550593161201</v>
      </c>
      <c r="CK104" s="5">
        <f t="shared" si="113"/>
        <v>1.1301302160418178</v>
      </c>
      <c r="CL104" s="5"/>
      <c r="CM104" s="5"/>
      <c r="CN104" s="5"/>
      <c r="CO104" s="51"/>
      <c r="CQ104" s="51"/>
      <c r="CR104" s="6"/>
      <c r="CT104" s="4"/>
      <c r="CU104" s="7"/>
      <c r="CX104" s="7"/>
      <c r="DA104" s="5"/>
      <c r="DB104" s="126"/>
      <c r="DC104" s="127"/>
      <c r="DD104" s="129"/>
      <c r="DE104" s="17"/>
      <c r="DF104" s="128"/>
      <c r="DG104" s="128"/>
      <c r="DH104" s="87"/>
      <c r="DI104" s="17"/>
      <c r="DJ104" s="128"/>
      <c r="DK104" s="87"/>
      <c r="DL104" s="17"/>
      <c r="DM104" s="87"/>
      <c r="DN104" s="87"/>
      <c r="DO104" s="87"/>
      <c r="DP104" s="87"/>
      <c r="DQ104" s="17"/>
      <c r="DR104" s="17"/>
      <c r="DU104" s="5"/>
      <c r="DV104" s="7"/>
      <c r="DX104" s="7"/>
      <c r="DY104" s="7"/>
      <c r="DZ104" s="5"/>
    </row>
    <row r="105" spans="3:130">
      <c r="E105" s="39"/>
      <c r="F105" s="48"/>
      <c r="G105" s="4"/>
      <c r="H105" s="7"/>
      <c r="I105" s="48"/>
      <c r="J105" s="5">
        <v>3.32</v>
      </c>
      <c r="K105" s="76">
        <f t="shared" si="118"/>
        <v>3320</v>
      </c>
      <c r="L105" s="107">
        <v>40705</v>
      </c>
      <c r="M105" s="76">
        <v>3325</v>
      </c>
      <c r="N105" s="104">
        <v>40705</v>
      </c>
      <c r="O105" s="81">
        <v>40705</v>
      </c>
      <c r="P105" s="23">
        <v>3320</v>
      </c>
      <c r="Q105" s="24">
        <f t="shared" si="92"/>
        <v>1</v>
      </c>
      <c r="R105" s="114">
        <f t="shared" si="93"/>
        <v>68</v>
      </c>
      <c r="S105" s="39">
        <f t="shared" si="75"/>
        <v>3.32</v>
      </c>
      <c r="T105" s="5">
        <f t="shared" si="76"/>
        <v>59.76</v>
      </c>
      <c r="U105" s="7">
        <f t="shared" si="77"/>
        <v>1957.8518014955812</v>
      </c>
      <c r="V105">
        <f t="shared" si="114"/>
        <v>3.2</v>
      </c>
      <c r="W105" s="77">
        <f t="shared" si="122"/>
        <v>60</v>
      </c>
      <c r="X105" s="6">
        <f t="shared" si="94"/>
        <v>117.47110808973487</v>
      </c>
      <c r="Y105" s="6">
        <f t="shared" si="95"/>
        <v>6.500067980965329</v>
      </c>
      <c r="Z105" s="5">
        <f t="shared" si="115"/>
        <v>110.97104010876954</v>
      </c>
      <c r="AA105" s="113">
        <f t="shared" si="78"/>
        <v>34.67845003399048</v>
      </c>
      <c r="AB105" s="5">
        <f t="shared" si="96"/>
        <v>34.678450033990472</v>
      </c>
      <c r="AC105" s="80">
        <f t="shared" si="97"/>
        <v>117.47110808973487</v>
      </c>
      <c r="AD105" s="5">
        <f t="shared" si="98"/>
        <v>27.484137494727957</v>
      </c>
      <c r="AE105" s="5">
        <f t="shared" si="99"/>
        <v>10.624000000000001</v>
      </c>
      <c r="AF105" s="5">
        <f t="shared" si="100"/>
        <v>6.500067980965329</v>
      </c>
      <c r="AG105" s="7">
        <f t="shared" si="79"/>
        <v>27484.137494727958</v>
      </c>
      <c r="AH105" s="5">
        <f t="shared" si="101"/>
        <v>110.97104010876954</v>
      </c>
      <c r="AI105" s="7">
        <f t="shared" si="102"/>
        <v>34678.450033990484</v>
      </c>
      <c r="AJ105" s="6">
        <f t="shared" si="103"/>
        <v>110.97104010876954</v>
      </c>
      <c r="AK105" s="7">
        <f t="shared" si="116"/>
        <v>1679.2824589626885</v>
      </c>
      <c r="AL105" s="7"/>
      <c r="AM105" s="7"/>
      <c r="AO105" s="18"/>
      <c r="AP105" s="4">
        <f t="shared" si="117"/>
        <v>40696</v>
      </c>
      <c r="AQ105" s="36">
        <f>+AU104</f>
        <v>0.44097222222222227</v>
      </c>
      <c r="AR105">
        <f>+AV104</f>
        <v>2800</v>
      </c>
      <c r="AT105" s="4">
        <v>40697</v>
      </c>
      <c r="AU105" s="36">
        <v>0.3923611111111111</v>
      </c>
      <c r="AV105">
        <v>700</v>
      </c>
      <c r="AX105" s="45">
        <f t="shared" si="80"/>
        <v>2207.2992700729928</v>
      </c>
      <c r="AY105" s="45">
        <f t="shared" si="81"/>
        <v>0</v>
      </c>
      <c r="AZ105" s="7">
        <f t="shared" si="82"/>
        <v>2207.2992700729928</v>
      </c>
      <c r="BA105" s="18">
        <f t="shared" si="83"/>
        <v>1</v>
      </c>
      <c r="BB105" s="6">
        <f t="shared" si="84"/>
        <v>22.833333333333332</v>
      </c>
      <c r="BI105" s="91"/>
      <c r="BJ105" s="27"/>
      <c r="BK105" s="21"/>
      <c r="BL105" s="12">
        <v>40696</v>
      </c>
      <c r="BM105" s="72">
        <f t="shared" si="85"/>
        <v>217.39130434782609</v>
      </c>
      <c r="BN105" s="49">
        <f t="shared" si="104"/>
        <v>1</v>
      </c>
      <c r="BO105" s="16">
        <f t="shared" si="105"/>
        <v>59</v>
      </c>
      <c r="BP105" s="5">
        <v>10</v>
      </c>
      <c r="BQ105" s="7">
        <f t="shared" si="123"/>
        <v>2207.2992700729928</v>
      </c>
      <c r="BR105" s="7"/>
      <c r="BS105" s="7">
        <f t="shared" si="120"/>
        <v>2207.2992700729928</v>
      </c>
      <c r="BT105">
        <f t="shared" si="119"/>
        <v>3.2</v>
      </c>
      <c r="BU105">
        <f t="shared" si="124"/>
        <v>60</v>
      </c>
      <c r="BV105" s="6">
        <f t="shared" si="86"/>
        <v>132.43795620437956</v>
      </c>
      <c r="BW105" s="6">
        <f t="shared" si="87"/>
        <v>0.47984766740717238</v>
      </c>
      <c r="BX105" s="5">
        <f t="shared" si="88"/>
        <v>131.95810853697239</v>
      </c>
      <c r="BY105" s="5">
        <f t="shared" si="89"/>
        <v>41.236908917803866</v>
      </c>
      <c r="BZ105" s="5">
        <f t="shared" si="90"/>
        <v>41.236908917803859</v>
      </c>
      <c r="CA105" s="5">
        <f t="shared" si="91"/>
        <v>132.43795620437956</v>
      </c>
      <c r="CB105" s="7">
        <f t="shared" si="106"/>
        <v>769.63292470194972</v>
      </c>
      <c r="CC105" s="5">
        <f t="shared" si="107"/>
        <v>1.2072636097511584</v>
      </c>
      <c r="CD105" s="7">
        <f t="shared" si="121"/>
        <v>70</v>
      </c>
      <c r="CE105" s="5">
        <f t="shared" si="108"/>
        <v>155.79263711495116</v>
      </c>
      <c r="CF105" s="5">
        <f t="shared" si="109"/>
        <v>2232.0083991795063</v>
      </c>
      <c r="CG105">
        <f t="shared" si="74"/>
        <v>70</v>
      </c>
      <c r="CH105" s="5">
        <f t="shared" si="110"/>
        <v>143.01764087152517</v>
      </c>
      <c r="CI105" s="5">
        <f t="shared" si="111"/>
        <v>1980.1650178670004</v>
      </c>
      <c r="CJ105" s="5">
        <f t="shared" si="112"/>
        <v>1.0893246187363834</v>
      </c>
      <c r="CK105" s="5">
        <f t="shared" si="113"/>
        <v>1.1271830271922425</v>
      </c>
      <c r="CL105" s="5"/>
      <c r="CM105" s="5"/>
      <c r="CN105" s="5"/>
      <c r="CO105" s="51"/>
      <c r="CQ105" s="51"/>
      <c r="CR105" s="6"/>
      <c r="CT105" s="4"/>
      <c r="CU105" s="7"/>
      <c r="CX105" s="7"/>
      <c r="DA105" s="5"/>
      <c r="DB105" s="126"/>
      <c r="DC105" s="127"/>
      <c r="DD105" s="129"/>
      <c r="DE105" s="17"/>
      <c r="DF105" s="128"/>
      <c r="DG105" s="128"/>
      <c r="DH105" s="87"/>
      <c r="DI105" s="17"/>
      <c r="DJ105" s="128"/>
      <c r="DK105" s="87"/>
      <c r="DL105" s="17"/>
      <c r="DM105" s="87"/>
      <c r="DN105" s="87"/>
      <c r="DO105" s="87"/>
      <c r="DP105" s="87"/>
      <c r="DQ105" s="17"/>
      <c r="DR105" s="17"/>
      <c r="DU105" s="5"/>
      <c r="DV105" s="7"/>
      <c r="DX105" s="7"/>
      <c r="DY105" s="7"/>
      <c r="DZ105" s="5"/>
    </row>
    <row r="106" spans="3:130">
      <c r="E106" s="39"/>
      <c r="F106" s="48"/>
      <c r="G106" s="4"/>
      <c r="H106" s="7"/>
      <c r="I106" s="48"/>
      <c r="J106" s="5">
        <v>2.68</v>
      </c>
      <c r="K106" s="76">
        <f t="shared" si="118"/>
        <v>2680</v>
      </c>
      <c r="L106" s="107">
        <v>40706</v>
      </c>
      <c r="M106" s="76">
        <v>2684</v>
      </c>
      <c r="N106" s="104">
        <v>40706</v>
      </c>
      <c r="O106" s="81">
        <v>40706</v>
      </c>
      <c r="P106" s="23">
        <v>2680</v>
      </c>
      <c r="Q106" s="24">
        <f t="shared" si="92"/>
        <v>1</v>
      </c>
      <c r="R106" s="114">
        <f t="shared" si="93"/>
        <v>69</v>
      </c>
      <c r="S106" s="39">
        <f t="shared" si="75"/>
        <v>2.68</v>
      </c>
      <c r="T106" s="5">
        <f t="shared" si="76"/>
        <v>48.24</v>
      </c>
      <c r="U106" s="7">
        <f t="shared" si="77"/>
        <v>2754.0983606557375</v>
      </c>
      <c r="V106">
        <f t="shared" si="114"/>
        <v>3.2</v>
      </c>
      <c r="W106" s="77">
        <f t="shared" si="122"/>
        <v>60</v>
      </c>
      <c r="X106" s="6">
        <f t="shared" si="94"/>
        <v>165.24590163934425</v>
      </c>
      <c r="Y106" s="6">
        <f t="shared" si="95"/>
        <v>7.3809836065573764</v>
      </c>
      <c r="Z106" s="5">
        <f t="shared" si="115"/>
        <v>157.86491803278687</v>
      </c>
      <c r="AA106" s="113">
        <f t="shared" si="78"/>
        <v>49.332786885245895</v>
      </c>
      <c r="AB106" s="5">
        <f t="shared" si="96"/>
        <v>49.332786885245895</v>
      </c>
      <c r="AC106" s="80">
        <f t="shared" si="97"/>
        <v>165.24590163934425</v>
      </c>
      <c r="AD106" s="5">
        <f t="shared" si="98"/>
        <v>29.537621145374445</v>
      </c>
      <c r="AE106" s="5">
        <f t="shared" si="99"/>
        <v>8.5760000000000005</v>
      </c>
      <c r="AF106" s="5">
        <f t="shared" si="100"/>
        <v>7.3809836065573773</v>
      </c>
      <c r="AG106" s="7">
        <f t="shared" si="79"/>
        <v>29537.621145374444</v>
      </c>
      <c r="AH106" s="5">
        <f t="shared" si="101"/>
        <v>157.86491803278687</v>
      </c>
      <c r="AI106" s="7">
        <f t="shared" si="102"/>
        <v>49332.786885245892</v>
      </c>
      <c r="AJ106" s="6">
        <f t="shared" si="103"/>
        <v>157.86491803278687</v>
      </c>
      <c r="AK106" s="7">
        <f t="shared" si="116"/>
        <v>1837.1473769954753</v>
      </c>
      <c r="AL106" s="7"/>
      <c r="AM106" s="7"/>
      <c r="AO106" s="18"/>
      <c r="AP106" s="4">
        <f t="shared" si="117"/>
        <v>40697</v>
      </c>
      <c r="AQ106" s="36">
        <v>0.3923611111111111</v>
      </c>
      <c r="AR106">
        <v>3900</v>
      </c>
      <c r="AT106" s="4">
        <v>40698</v>
      </c>
      <c r="AU106" s="36">
        <v>0.41041666666666665</v>
      </c>
      <c r="AV106">
        <v>1850</v>
      </c>
      <c r="AX106" s="45">
        <f t="shared" si="80"/>
        <v>2013.642564802183</v>
      </c>
      <c r="AY106" s="45">
        <f t="shared" si="81"/>
        <v>0</v>
      </c>
      <c r="AZ106" s="7">
        <f t="shared" si="82"/>
        <v>2013.642564802183</v>
      </c>
      <c r="BA106" s="18">
        <f t="shared" si="83"/>
        <v>1</v>
      </c>
      <c r="BB106" s="6">
        <f t="shared" si="84"/>
        <v>24.433333333333334</v>
      </c>
      <c r="BI106" s="91"/>
      <c r="BJ106" s="27"/>
      <c r="BK106" s="21"/>
      <c r="BL106" s="12">
        <v>40697</v>
      </c>
      <c r="BM106" s="72">
        <f t="shared" si="85"/>
        <v>217.39130434782609</v>
      </c>
      <c r="BN106" s="49">
        <f t="shared" si="104"/>
        <v>1</v>
      </c>
      <c r="BO106" s="16">
        <f t="shared" si="105"/>
        <v>60</v>
      </c>
      <c r="BP106" s="5">
        <v>10</v>
      </c>
      <c r="BQ106" s="7">
        <f t="shared" si="123"/>
        <v>2013.642564802183</v>
      </c>
      <c r="BR106" s="7"/>
      <c r="BS106" s="7">
        <f t="shared" si="120"/>
        <v>2013.642564802183</v>
      </c>
      <c r="BT106">
        <f t="shared" si="119"/>
        <v>3.2</v>
      </c>
      <c r="BU106">
        <f t="shared" si="124"/>
        <v>60</v>
      </c>
      <c r="BV106" s="6">
        <f t="shared" si="86"/>
        <v>120.81855388813098</v>
      </c>
      <c r="BW106" s="6">
        <f t="shared" si="87"/>
        <v>0.43774838365264845</v>
      </c>
      <c r="BX106" s="5">
        <f t="shared" si="88"/>
        <v>120.38080550447833</v>
      </c>
      <c r="BY106" s="5">
        <f t="shared" si="89"/>
        <v>37.619001720149477</v>
      </c>
      <c r="BZ106" s="5">
        <f t="shared" si="90"/>
        <v>37.619001720149477</v>
      </c>
      <c r="CA106" s="5">
        <f t="shared" si="91"/>
        <v>120.81855388813098</v>
      </c>
      <c r="CB106" s="7">
        <f t="shared" si="106"/>
        <v>890.45147859008068</v>
      </c>
      <c r="CC106" s="5">
        <f t="shared" si="107"/>
        <v>1.1917611114689146</v>
      </c>
      <c r="CD106" s="7">
        <f t="shared" si="121"/>
        <v>71</v>
      </c>
      <c r="CE106" s="5">
        <f t="shared" si="108"/>
        <v>156.2660443407234</v>
      </c>
      <c r="CF106" s="5">
        <f t="shared" si="109"/>
        <v>2388.2744435202299</v>
      </c>
      <c r="CG106">
        <f t="shared" si="74"/>
        <v>71</v>
      </c>
      <c r="CH106" s="5">
        <f t="shared" si="110"/>
        <v>144.12938156359388</v>
      </c>
      <c r="CI106" s="5">
        <f t="shared" si="111"/>
        <v>2124.2943994305942</v>
      </c>
      <c r="CJ106" s="5">
        <f t="shared" si="112"/>
        <v>1.0842067220816769</v>
      </c>
      <c r="CK106" s="5">
        <f t="shared" si="113"/>
        <v>1.1242671656811758</v>
      </c>
      <c r="CL106" s="5"/>
      <c r="CM106" s="5"/>
      <c r="CN106" s="5"/>
      <c r="CO106" s="51"/>
      <c r="CQ106" s="51"/>
      <c r="CR106" s="6"/>
      <c r="CT106" s="4"/>
      <c r="CU106" s="7"/>
      <c r="CX106" s="7"/>
      <c r="DA106" s="5"/>
      <c r="DB106" s="126"/>
      <c r="DC106" s="127"/>
      <c r="DD106" s="129"/>
      <c r="DE106" s="17"/>
      <c r="DF106" s="128"/>
      <c r="DG106" s="128"/>
      <c r="DH106" s="87"/>
      <c r="DI106" s="17"/>
      <c r="DJ106" s="128"/>
      <c r="DK106" s="87"/>
      <c r="DL106" s="17"/>
      <c r="DM106" s="87"/>
      <c r="DN106" s="87"/>
      <c r="DO106" s="87"/>
      <c r="DP106" s="87"/>
      <c r="DQ106" s="17"/>
      <c r="DR106" s="17"/>
      <c r="DU106" s="5"/>
      <c r="DV106" s="7"/>
      <c r="DX106" s="7"/>
      <c r="DY106" s="7"/>
      <c r="DZ106" s="5"/>
    </row>
    <row r="107" spans="3:130">
      <c r="E107" s="39"/>
      <c r="F107" s="48"/>
      <c r="G107" s="4"/>
      <c r="H107" s="7"/>
      <c r="I107" s="48"/>
      <c r="J107" s="5">
        <v>4.92</v>
      </c>
      <c r="K107" s="76">
        <f t="shared" si="118"/>
        <v>4920</v>
      </c>
      <c r="L107" s="107">
        <v>40707</v>
      </c>
      <c r="M107" s="76">
        <v>4929.8</v>
      </c>
      <c r="N107" s="104">
        <v>40707</v>
      </c>
      <c r="O107" s="81">
        <v>40707</v>
      </c>
      <c r="P107" s="23">
        <v>4920</v>
      </c>
      <c r="Q107" s="24">
        <f t="shared" si="92"/>
        <v>1</v>
      </c>
      <c r="R107" s="114">
        <f t="shared" si="93"/>
        <v>70</v>
      </c>
      <c r="S107" s="39">
        <f t="shared" si="75"/>
        <v>4.92</v>
      </c>
      <c r="T107" s="5">
        <f t="shared" si="76"/>
        <v>88.56</v>
      </c>
      <c r="U107" s="7">
        <f t="shared" si="77"/>
        <v>2596.5439519158526</v>
      </c>
      <c r="V107">
        <f t="shared" si="114"/>
        <v>3.2</v>
      </c>
      <c r="W107" s="77">
        <f t="shared" si="122"/>
        <v>60</v>
      </c>
      <c r="X107" s="6">
        <f t="shared" si="94"/>
        <v>155.79263711495116</v>
      </c>
      <c r="Y107" s="6">
        <f t="shared" si="95"/>
        <v>12.774996243425996</v>
      </c>
      <c r="Z107" s="5">
        <f t="shared" si="115"/>
        <v>143.01764087152517</v>
      </c>
      <c r="AA107" s="113">
        <f t="shared" si="78"/>
        <v>44.693012772351615</v>
      </c>
      <c r="AB107" s="5">
        <f t="shared" si="96"/>
        <v>44.693012772351615</v>
      </c>
      <c r="AC107" s="80">
        <f t="shared" si="97"/>
        <v>155.79263711495116</v>
      </c>
      <c r="AD107" s="5">
        <f t="shared" si="98"/>
        <v>28.356316880962254</v>
      </c>
      <c r="AE107" s="5">
        <f t="shared" si="99"/>
        <v>15.744</v>
      </c>
      <c r="AF107" s="5">
        <f t="shared" si="100"/>
        <v>12.774996243425994</v>
      </c>
      <c r="AG107" s="7">
        <f t="shared" si="79"/>
        <v>28356.316880962255</v>
      </c>
      <c r="AH107" s="5">
        <f t="shared" si="101"/>
        <v>143.01764087152517</v>
      </c>
      <c r="AI107" s="7">
        <f t="shared" si="102"/>
        <v>44693.012772351613</v>
      </c>
      <c r="AJ107" s="6">
        <f t="shared" si="103"/>
        <v>143.01764087152517</v>
      </c>
      <c r="AK107" s="7">
        <f t="shared" si="116"/>
        <v>1980.1650178670004</v>
      </c>
      <c r="AL107" s="7"/>
      <c r="AM107" s="7"/>
      <c r="AO107" s="18"/>
      <c r="AP107" s="4">
        <f t="shared" si="117"/>
        <v>40698</v>
      </c>
      <c r="AQ107" s="36">
        <v>0.76250000000000007</v>
      </c>
      <c r="AR107">
        <v>2000</v>
      </c>
      <c r="AT107" s="4">
        <v>40699</v>
      </c>
      <c r="AU107" s="36">
        <v>0.46319444444444446</v>
      </c>
      <c r="AV107">
        <v>750</v>
      </c>
      <c r="AX107" s="45">
        <f t="shared" si="80"/>
        <v>1783.9444995044601</v>
      </c>
      <c r="AY107" s="45">
        <f t="shared" si="81"/>
        <v>0</v>
      </c>
      <c r="AZ107" s="7">
        <f t="shared" si="82"/>
        <v>1783.9444995044601</v>
      </c>
      <c r="BA107" s="18">
        <f t="shared" si="83"/>
        <v>1</v>
      </c>
      <c r="BB107" s="6">
        <f t="shared" si="84"/>
        <v>16.816666666666666</v>
      </c>
      <c r="BI107" s="91"/>
      <c r="BJ107" s="99">
        <v>4.4619999999999997</v>
      </c>
      <c r="BK107" s="94">
        <v>40698</v>
      </c>
      <c r="BL107" s="12">
        <v>40698</v>
      </c>
      <c r="BM107" s="72">
        <f t="shared" si="85"/>
        <v>96.999999999999986</v>
      </c>
      <c r="BN107" s="49">
        <f t="shared" si="104"/>
        <v>1</v>
      </c>
      <c r="BO107" s="16">
        <f t="shared" si="105"/>
        <v>61</v>
      </c>
      <c r="BP107" s="5">
        <f t="shared" ref="BP107:BP123" si="125">+BJ107</f>
        <v>4.4619999999999997</v>
      </c>
      <c r="BQ107" s="7">
        <f t="shared" si="123"/>
        <v>1783.9444995044601</v>
      </c>
      <c r="BR107" s="7"/>
      <c r="BS107" s="7">
        <f t="shared" si="120"/>
        <v>1783.9444995044601</v>
      </c>
      <c r="BT107">
        <f t="shared" si="119"/>
        <v>3.2</v>
      </c>
      <c r="BU107">
        <f t="shared" si="124"/>
        <v>60</v>
      </c>
      <c r="BV107" s="6">
        <f t="shared" si="86"/>
        <v>107.0366699702676</v>
      </c>
      <c r="BW107" s="6">
        <f t="shared" si="87"/>
        <v>0.17304261645193261</v>
      </c>
      <c r="BX107" s="5">
        <f t="shared" si="88"/>
        <v>106.86362735381566</v>
      </c>
      <c r="BY107" s="5">
        <f t="shared" si="89"/>
        <v>33.394883548067391</v>
      </c>
      <c r="BZ107" s="5">
        <f t="shared" si="90"/>
        <v>33.394883548067398</v>
      </c>
      <c r="CA107" s="5">
        <f t="shared" si="91"/>
        <v>107.0366699702676</v>
      </c>
      <c r="CB107" s="7">
        <f t="shared" si="106"/>
        <v>997.48814856034824</v>
      </c>
      <c r="CC107" s="5">
        <f t="shared" si="107"/>
        <v>1.1728394456477471</v>
      </c>
      <c r="CD107" s="7">
        <f t="shared" si="121"/>
        <v>72</v>
      </c>
      <c r="CE107" s="5">
        <f t="shared" si="108"/>
        <v>181.08937748344377</v>
      </c>
      <c r="CF107" s="5">
        <f t="shared" si="109"/>
        <v>2569.4664965003622</v>
      </c>
      <c r="CG107">
        <f t="shared" si="74"/>
        <v>72</v>
      </c>
      <c r="CH107" s="5">
        <f t="shared" si="110"/>
        <v>163.55602649006627</v>
      </c>
      <c r="CI107" s="5">
        <f t="shared" si="111"/>
        <v>2287.8504259206607</v>
      </c>
      <c r="CJ107" s="5">
        <f t="shared" si="112"/>
        <v>1.1072008862629248</v>
      </c>
      <c r="CK107" s="5">
        <f t="shared" si="113"/>
        <v>1.1230919938598589</v>
      </c>
      <c r="CL107" s="5"/>
      <c r="CM107" s="5"/>
      <c r="CN107" s="5"/>
      <c r="CO107" s="51"/>
      <c r="CQ107" s="51"/>
      <c r="CR107" s="6"/>
      <c r="CT107" s="4"/>
      <c r="CU107" s="7"/>
      <c r="CX107" s="7"/>
      <c r="DA107" s="5"/>
      <c r="DB107" s="126"/>
      <c r="DC107" s="127"/>
      <c r="DD107" s="129"/>
      <c r="DE107" s="17"/>
      <c r="DF107" s="128"/>
      <c r="DG107" s="128"/>
      <c r="DH107" s="87"/>
      <c r="DI107" s="17"/>
      <c r="DJ107" s="128"/>
      <c r="DK107" s="87"/>
      <c r="DL107" s="17"/>
      <c r="DM107" s="87"/>
      <c r="DN107" s="87"/>
      <c r="DO107" s="87"/>
      <c r="DP107" s="87"/>
      <c r="DQ107" s="17"/>
      <c r="DR107" s="17"/>
      <c r="DU107" s="5"/>
      <c r="DV107" s="7"/>
      <c r="DX107" s="7"/>
      <c r="DY107" s="7"/>
      <c r="DZ107" s="5"/>
    </row>
    <row r="108" spans="3:130">
      <c r="E108" s="39"/>
      <c r="F108" s="48"/>
      <c r="G108" s="4"/>
      <c r="H108" s="7"/>
      <c r="I108" s="48"/>
      <c r="J108" s="5">
        <v>4.66</v>
      </c>
      <c r="K108" s="76">
        <f t="shared" si="118"/>
        <v>4660</v>
      </c>
      <c r="L108" s="107">
        <v>40708</v>
      </c>
      <c r="M108" s="76">
        <v>4662.5</v>
      </c>
      <c r="N108" s="104">
        <v>40708</v>
      </c>
      <c r="O108" s="81">
        <v>40708</v>
      </c>
      <c r="P108" s="23">
        <v>4660</v>
      </c>
      <c r="Q108" s="24">
        <f t="shared" si="92"/>
        <v>1</v>
      </c>
      <c r="R108" s="114">
        <f t="shared" si="93"/>
        <v>71</v>
      </c>
      <c r="S108" s="39">
        <f t="shared" si="75"/>
        <v>4.66</v>
      </c>
      <c r="T108" s="5">
        <f t="shared" si="76"/>
        <v>83.88</v>
      </c>
      <c r="U108" s="7">
        <f t="shared" si="77"/>
        <v>2604.4340723453902</v>
      </c>
      <c r="V108">
        <f t="shared" si="114"/>
        <v>3.2</v>
      </c>
      <c r="W108" s="77">
        <f t="shared" si="122"/>
        <v>60</v>
      </c>
      <c r="X108" s="6">
        <f t="shared" si="94"/>
        <v>156.2660443407234</v>
      </c>
      <c r="Y108" s="6">
        <f t="shared" si="95"/>
        <v>12.136662777129517</v>
      </c>
      <c r="Z108" s="5">
        <f t="shared" si="115"/>
        <v>144.12938156359388</v>
      </c>
      <c r="AA108" s="113">
        <f t="shared" si="78"/>
        <v>45.040431738623084</v>
      </c>
      <c r="AB108" s="5">
        <f t="shared" si="96"/>
        <v>45.040431738623084</v>
      </c>
      <c r="AC108" s="80">
        <f t="shared" si="97"/>
        <v>156.2660443407234</v>
      </c>
      <c r="AD108" s="5">
        <f t="shared" si="98"/>
        <v>29.634248954647788</v>
      </c>
      <c r="AE108" s="5">
        <f t="shared" si="99"/>
        <v>14.912000000000001</v>
      </c>
      <c r="AF108" s="5">
        <f t="shared" si="100"/>
        <v>12.136662777129517</v>
      </c>
      <c r="AG108" s="7">
        <f t="shared" si="79"/>
        <v>29634.248954647788</v>
      </c>
      <c r="AH108" s="5">
        <f t="shared" si="101"/>
        <v>144.12938156359388</v>
      </c>
      <c r="AI108" s="7">
        <f t="shared" si="102"/>
        <v>45040.43173862309</v>
      </c>
      <c r="AJ108" s="6">
        <f t="shared" si="103"/>
        <v>144.12938156359388</v>
      </c>
      <c r="AK108" s="7">
        <f t="shared" si="116"/>
        <v>2124.2943994305942</v>
      </c>
      <c r="AL108" s="7"/>
      <c r="AM108" s="7"/>
      <c r="AO108" s="18"/>
      <c r="AP108" s="4">
        <f t="shared" si="117"/>
        <v>40699</v>
      </c>
      <c r="AQ108" s="36">
        <f>+AU107</f>
        <v>0.46319444444444446</v>
      </c>
      <c r="AR108">
        <v>4000</v>
      </c>
      <c r="AT108" s="4">
        <v>40700</v>
      </c>
      <c r="AU108" s="36">
        <v>0.49305555555555558</v>
      </c>
      <c r="AV108">
        <v>1900</v>
      </c>
      <c r="AX108" s="45">
        <f t="shared" si="80"/>
        <v>2039.1099123398515</v>
      </c>
      <c r="AY108" s="45">
        <f t="shared" si="81"/>
        <v>0</v>
      </c>
      <c r="AZ108" s="7">
        <f t="shared" si="82"/>
        <v>2039.1099123398515</v>
      </c>
      <c r="BA108" s="18">
        <f t="shared" si="83"/>
        <v>1</v>
      </c>
      <c r="BB108" s="6">
        <f t="shared" si="84"/>
        <v>24.716666666666669</v>
      </c>
      <c r="BI108" s="91"/>
      <c r="BJ108" s="99">
        <v>47.425999999999995</v>
      </c>
      <c r="BK108" s="94">
        <v>40699</v>
      </c>
      <c r="BL108" s="12">
        <v>40699</v>
      </c>
      <c r="BM108" s="72">
        <f t="shared" si="85"/>
        <v>1031</v>
      </c>
      <c r="BN108" s="49">
        <f t="shared" si="104"/>
        <v>1</v>
      </c>
      <c r="BO108" s="16">
        <f t="shared" si="105"/>
        <v>62</v>
      </c>
      <c r="BP108" s="5">
        <f t="shared" si="125"/>
        <v>47.425999999999995</v>
      </c>
      <c r="BQ108" s="7">
        <f t="shared" si="123"/>
        <v>2039.1099123398515</v>
      </c>
      <c r="BR108" s="7"/>
      <c r="BS108" s="7">
        <f t="shared" si="120"/>
        <v>2039.1099123398515</v>
      </c>
      <c r="BT108">
        <f t="shared" si="119"/>
        <v>3.2</v>
      </c>
      <c r="BU108">
        <f t="shared" si="124"/>
        <v>60</v>
      </c>
      <c r="BV108" s="6">
        <f t="shared" si="86"/>
        <v>122.34659474039108</v>
      </c>
      <c r="BW108" s="6">
        <f t="shared" si="87"/>
        <v>2.1023223196223868</v>
      </c>
      <c r="BX108" s="5">
        <f t="shared" si="88"/>
        <v>120.2442724207687</v>
      </c>
      <c r="BY108" s="5">
        <f t="shared" si="89"/>
        <v>37.576335131490218</v>
      </c>
      <c r="BZ108" s="5">
        <f t="shared" si="90"/>
        <v>37.576335131490218</v>
      </c>
      <c r="CA108" s="5">
        <f t="shared" si="91"/>
        <v>122.34659474039108</v>
      </c>
      <c r="CB108" s="7">
        <f t="shared" si="106"/>
        <v>1119.8347433007393</v>
      </c>
      <c r="CC108" s="5">
        <f t="shared" si="107"/>
        <v>1.1548376565736502</v>
      </c>
      <c r="CD108" s="7">
        <f t="shared" si="121"/>
        <v>73</v>
      </c>
      <c r="CE108" s="5">
        <f t="shared" si="108"/>
        <v>209.18918918918916</v>
      </c>
      <c r="CF108" s="5">
        <f t="shared" si="109"/>
        <v>2778.6556856895513</v>
      </c>
      <c r="CG108">
        <f t="shared" si="74"/>
        <v>73</v>
      </c>
      <c r="CH108" s="5">
        <f t="shared" si="110"/>
        <v>186.87567567567567</v>
      </c>
      <c r="CI108" s="5">
        <f t="shared" si="111"/>
        <v>2474.7261015963363</v>
      </c>
      <c r="CJ108" s="5">
        <f t="shared" si="112"/>
        <v>1.1194029850746268</v>
      </c>
      <c r="CK108" s="5">
        <f t="shared" si="113"/>
        <v>1.1228134232298126</v>
      </c>
      <c r="CL108" s="5"/>
      <c r="CM108" s="5"/>
      <c r="CN108" s="5"/>
      <c r="CO108" s="51"/>
      <c r="CQ108" s="51"/>
      <c r="CR108" s="6"/>
      <c r="CT108" s="4"/>
      <c r="CU108" s="7"/>
      <c r="CX108" s="7"/>
      <c r="DA108" s="5"/>
      <c r="DB108" s="126"/>
      <c r="DC108" s="127"/>
      <c r="DD108" s="129"/>
      <c r="DE108" s="17"/>
      <c r="DF108" s="128"/>
      <c r="DG108" s="128"/>
      <c r="DH108" s="87"/>
      <c r="DI108" s="17"/>
      <c r="DJ108" s="128"/>
      <c r="DK108" s="87"/>
      <c r="DL108" s="17"/>
      <c r="DM108" s="87"/>
      <c r="DN108" s="87"/>
      <c r="DO108" s="87"/>
      <c r="DP108" s="87"/>
      <c r="DQ108" s="17"/>
      <c r="DR108" s="17"/>
      <c r="DU108" s="5"/>
      <c r="DV108" s="7"/>
      <c r="DX108" s="7"/>
      <c r="DY108" s="7"/>
      <c r="DZ108" s="5"/>
    </row>
    <row r="109" spans="3:130">
      <c r="E109" s="39"/>
      <c r="F109" s="48"/>
      <c r="G109" s="4"/>
      <c r="H109" s="7"/>
      <c r="I109" s="48"/>
      <c r="J109" s="5">
        <v>5.84</v>
      </c>
      <c r="K109" s="76">
        <f t="shared" si="118"/>
        <v>5840</v>
      </c>
      <c r="L109" s="107">
        <v>40709</v>
      </c>
      <c r="M109" s="76">
        <v>5841.9</v>
      </c>
      <c r="N109" s="104">
        <v>40709</v>
      </c>
      <c r="O109" s="81">
        <v>40709</v>
      </c>
      <c r="P109" s="23">
        <v>5840</v>
      </c>
      <c r="Q109" s="24">
        <f t="shared" si="92"/>
        <v>1</v>
      </c>
      <c r="R109" s="114">
        <f t="shared" si="93"/>
        <v>72</v>
      </c>
      <c r="S109" s="39">
        <f t="shared" si="75"/>
        <v>5.84</v>
      </c>
      <c r="T109" s="5">
        <f t="shared" si="76"/>
        <v>105.12</v>
      </c>
      <c r="U109" s="7">
        <f t="shared" si="77"/>
        <v>3019.8675496688747</v>
      </c>
      <c r="V109">
        <f t="shared" si="114"/>
        <v>3.2</v>
      </c>
      <c r="W109" s="77">
        <f t="shared" si="122"/>
        <v>60</v>
      </c>
      <c r="X109" s="6">
        <f t="shared" si="94"/>
        <v>181.1920529801325</v>
      </c>
      <c r="Y109" s="6">
        <f t="shared" si="95"/>
        <v>17.636026490066229</v>
      </c>
      <c r="Z109" s="5">
        <f t="shared" si="115"/>
        <v>163.55602649006627</v>
      </c>
      <c r="AA109" s="113">
        <f t="shared" si="78"/>
        <v>51.111258278145705</v>
      </c>
      <c r="AB109" s="5">
        <f t="shared" si="96"/>
        <v>51.111258278145698</v>
      </c>
      <c r="AC109" s="80">
        <f t="shared" si="97"/>
        <v>181.1920529801325</v>
      </c>
      <c r="AD109" s="5">
        <f t="shared" si="98"/>
        <v>31.528654173764913</v>
      </c>
      <c r="AE109" s="5">
        <f t="shared" si="99"/>
        <v>18.687999999999999</v>
      </c>
      <c r="AF109" s="5">
        <f t="shared" si="100"/>
        <v>17.636026490066229</v>
      </c>
      <c r="AG109" s="7">
        <f t="shared" si="79"/>
        <v>31528.654173764913</v>
      </c>
      <c r="AH109" s="5">
        <f t="shared" si="101"/>
        <v>163.55602649006627</v>
      </c>
      <c r="AI109" s="7">
        <f t="shared" si="102"/>
        <v>51111.258278145702</v>
      </c>
      <c r="AJ109" s="6">
        <f t="shared" si="103"/>
        <v>163.55602649006627</v>
      </c>
      <c r="AK109" s="7">
        <f t="shared" si="116"/>
        <v>2287.8504259206607</v>
      </c>
      <c r="AL109" s="7"/>
      <c r="AM109" s="7"/>
      <c r="AO109" s="18"/>
      <c r="AP109" s="4">
        <f t="shared" si="117"/>
        <v>40700</v>
      </c>
      <c r="AQ109" s="36">
        <f>+AU108</f>
        <v>0.49305555555555558</v>
      </c>
      <c r="AR109">
        <v>4000</v>
      </c>
      <c r="AT109" s="4">
        <v>40701</v>
      </c>
      <c r="AU109" s="36">
        <v>0.40347222222222223</v>
      </c>
      <c r="AV109">
        <v>2250</v>
      </c>
      <c r="AX109" s="45">
        <f t="shared" si="80"/>
        <v>1922.1967963386724</v>
      </c>
      <c r="AY109" s="45">
        <f t="shared" si="81"/>
        <v>0</v>
      </c>
      <c r="AZ109" s="7">
        <f t="shared" si="82"/>
        <v>1922.1967963386724</v>
      </c>
      <c r="BA109" s="18">
        <f t="shared" si="83"/>
        <v>1</v>
      </c>
      <c r="BB109" s="6">
        <f t="shared" si="84"/>
        <v>21.850000000000005</v>
      </c>
      <c r="BI109" s="91"/>
      <c r="BJ109" s="99">
        <v>4.4619999999999997</v>
      </c>
      <c r="BK109" s="94">
        <v>40700</v>
      </c>
      <c r="BL109" s="12">
        <v>40700</v>
      </c>
      <c r="BM109" s="72">
        <f t="shared" si="85"/>
        <v>96.999999999999986</v>
      </c>
      <c r="BN109" s="49">
        <f t="shared" si="104"/>
        <v>1</v>
      </c>
      <c r="BO109" s="16">
        <f t="shared" si="105"/>
        <v>63</v>
      </c>
      <c r="BP109" s="5">
        <f t="shared" si="125"/>
        <v>4.4619999999999997</v>
      </c>
      <c r="BQ109" s="7">
        <f t="shared" si="123"/>
        <v>1922.1967963386724</v>
      </c>
      <c r="BR109" s="7"/>
      <c r="BS109" s="7">
        <f t="shared" si="120"/>
        <v>1922.1967963386724</v>
      </c>
      <c r="BT109">
        <f t="shared" si="119"/>
        <v>3.2</v>
      </c>
      <c r="BU109">
        <f t="shared" si="124"/>
        <v>60</v>
      </c>
      <c r="BV109" s="6">
        <f t="shared" si="86"/>
        <v>115.33180778032035</v>
      </c>
      <c r="BW109" s="6">
        <f t="shared" si="87"/>
        <v>0.18645308924485121</v>
      </c>
      <c r="BX109" s="5">
        <f t="shared" si="88"/>
        <v>115.1453546910755</v>
      </c>
      <c r="BY109" s="5">
        <f t="shared" si="89"/>
        <v>35.982923340961094</v>
      </c>
      <c r="BZ109" s="5">
        <f t="shared" si="90"/>
        <v>35.982923340961094</v>
      </c>
      <c r="CA109" s="5">
        <f t="shared" si="91"/>
        <v>115.33180778032035</v>
      </c>
      <c r="CB109" s="7">
        <f t="shared" si="106"/>
        <v>1235.1665510810597</v>
      </c>
      <c r="CC109" s="5">
        <f t="shared" si="107"/>
        <v>1.1492678724207499</v>
      </c>
      <c r="CD109" s="7">
        <f t="shared" si="121"/>
        <v>74</v>
      </c>
      <c r="CE109" s="5">
        <f t="shared" si="108"/>
        <v>233.77677564825248</v>
      </c>
      <c r="CF109" s="5">
        <f t="shared" si="109"/>
        <v>3012.4324613378039</v>
      </c>
      <c r="CG109">
        <f t="shared" si="74"/>
        <v>74</v>
      </c>
      <c r="CH109" s="5">
        <f t="shared" si="110"/>
        <v>211.17874363021414</v>
      </c>
      <c r="CI109" s="5">
        <f t="shared" si="111"/>
        <v>2685.9048452265506</v>
      </c>
      <c r="CJ109" s="5">
        <f t="shared" si="112"/>
        <v>1.1070090276586206</v>
      </c>
      <c r="CK109" s="5">
        <f t="shared" si="113"/>
        <v>1.1215708057162059</v>
      </c>
      <c r="CL109" s="5"/>
      <c r="CM109" s="5"/>
      <c r="CN109" s="5"/>
      <c r="CO109" s="51"/>
      <c r="CQ109" s="51"/>
      <c r="CR109" s="6"/>
      <c r="CT109" s="4"/>
      <c r="CU109" s="7"/>
      <c r="CX109" s="7"/>
      <c r="DA109" s="5"/>
      <c r="DB109" s="126"/>
      <c r="DC109" s="127"/>
      <c r="DD109" s="129"/>
      <c r="DE109" s="17"/>
      <c r="DF109" s="128"/>
      <c r="DG109" s="128"/>
      <c r="DH109" s="87"/>
      <c r="DI109" s="17"/>
      <c r="DJ109" s="128"/>
      <c r="DK109" s="87"/>
      <c r="DL109" s="17"/>
      <c r="DM109" s="87"/>
      <c r="DN109" s="87"/>
      <c r="DO109" s="87"/>
      <c r="DP109" s="87"/>
      <c r="DQ109" s="17"/>
      <c r="DR109" s="17"/>
      <c r="DU109" s="5"/>
      <c r="DV109" s="7"/>
      <c r="DX109" s="7"/>
      <c r="DY109" s="7"/>
      <c r="DZ109" s="5"/>
    </row>
    <row r="110" spans="3:130">
      <c r="C110" s="21"/>
      <c r="D110" s="12"/>
      <c r="E110" s="39"/>
      <c r="F110" s="48"/>
      <c r="G110" s="4"/>
      <c r="H110" s="7"/>
      <c r="I110" s="48"/>
      <c r="J110" s="5">
        <v>6.4</v>
      </c>
      <c r="K110" s="76">
        <f t="shared" si="118"/>
        <v>6400</v>
      </c>
      <c r="L110" s="107">
        <v>40710</v>
      </c>
      <c r="M110" s="76">
        <v>6405.5999999999995</v>
      </c>
      <c r="N110" s="104">
        <v>40710</v>
      </c>
      <c r="O110" s="81">
        <v>40710</v>
      </c>
      <c r="P110" s="23">
        <v>6400</v>
      </c>
      <c r="Q110" s="24">
        <f t="shared" si="92"/>
        <v>1</v>
      </c>
      <c r="R110" s="114">
        <f t="shared" si="93"/>
        <v>73</v>
      </c>
      <c r="S110" s="39">
        <f t="shared" si="75"/>
        <v>6.4</v>
      </c>
      <c r="T110" s="5">
        <f t="shared" si="76"/>
        <v>115.2</v>
      </c>
      <c r="U110" s="7">
        <f t="shared" si="77"/>
        <v>3486.4864864864862</v>
      </c>
      <c r="V110">
        <f t="shared" si="114"/>
        <v>3.2</v>
      </c>
      <c r="W110" s="77">
        <f t="shared" si="122"/>
        <v>60</v>
      </c>
      <c r="X110" s="6">
        <f t="shared" si="94"/>
        <v>209.18918918918916</v>
      </c>
      <c r="Y110" s="6">
        <f t="shared" si="95"/>
        <v>22.313513513513513</v>
      </c>
      <c r="Z110" s="5">
        <f t="shared" si="115"/>
        <v>186.87567567567567</v>
      </c>
      <c r="AA110" s="113">
        <f t="shared" si="78"/>
        <v>58.398648648648646</v>
      </c>
      <c r="AB110" s="5">
        <f t="shared" si="96"/>
        <v>58.398648648648653</v>
      </c>
      <c r="AC110" s="80">
        <f t="shared" si="97"/>
        <v>209.18918918918916</v>
      </c>
      <c r="AD110" s="5">
        <f t="shared" si="98"/>
        <v>34.080258690379942</v>
      </c>
      <c r="AE110" s="5">
        <f t="shared" si="99"/>
        <v>20.48</v>
      </c>
      <c r="AF110" s="5">
        <f t="shared" si="100"/>
        <v>22.313513513513513</v>
      </c>
      <c r="AG110" s="7">
        <f t="shared" si="79"/>
        <v>34080.258690379946</v>
      </c>
      <c r="AH110" s="5">
        <f t="shared" si="101"/>
        <v>186.87567567567567</v>
      </c>
      <c r="AI110" s="7">
        <f t="shared" si="102"/>
        <v>58398.648648648646</v>
      </c>
      <c r="AJ110" s="6">
        <f t="shared" si="103"/>
        <v>186.87567567567567</v>
      </c>
      <c r="AK110" s="7">
        <f t="shared" si="116"/>
        <v>2474.7261015963363</v>
      </c>
      <c r="AL110" s="7"/>
      <c r="AM110" s="7"/>
      <c r="AO110" s="18"/>
      <c r="AP110" s="4">
        <f t="shared" si="117"/>
        <v>40701</v>
      </c>
      <c r="AQ110" s="36">
        <v>0.8125</v>
      </c>
      <c r="AR110">
        <v>4000</v>
      </c>
      <c r="AT110" s="4">
        <v>40702</v>
      </c>
      <c r="AU110" s="36">
        <v>0.41666666666666669</v>
      </c>
      <c r="AV110">
        <v>2700</v>
      </c>
      <c r="AX110" s="45">
        <f t="shared" si="80"/>
        <v>2151.7241379310344</v>
      </c>
      <c r="AY110" s="45">
        <f t="shared" si="81"/>
        <v>0</v>
      </c>
      <c r="AZ110" s="7">
        <f t="shared" si="82"/>
        <v>2151.7241379310344</v>
      </c>
      <c r="BA110" s="18">
        <f t="shared" si="83"/>
        <v>1</v>
      </c>
      <c r="BB110" s="6">
        <f t="shared" si="84"/>
        <v>14.5</v>
      </c>
      <c r="BI110" s="91"/>
      <c r="BJ110" s="99">
        <v>6.0720000000000001</v>
      </c>
      <c r="BK110" s="94">
        <v>40701</v>
      </c>
      <c r="BL110" s="12">
        <v>40701</v>
      </c>
      <c r="BM110" s="72">
        <f t="shared" si="85"/>
        <v>132</v>
      </c>
      <c r="BN110" s="49">
        <f t="shared" si="104"/>
        <v>1</v>
      </c>
      <c r="BO110" s="16">
        <f t="shared" si="105"/>
        <v>64</v>
      </c>
      <c r="BP110" s="5">
        <f t="shared" si="125"/>
        <v>6.0720000000000001</v>
      </c>
      <c r="BQ110" s="7">
        <f>+VLOOKUP(BL110,AP64:AZ112,9)</f>
        <v>2151.7241379310344</v>
      </c>
      <c r="BR110" s="7"/>
      <c r="BS110" s="7">
        <f t="shared" si="120"/>
        <v>2151.7241379310344</v>
      </c>
      <c r="BT110">
        <f t="shared" si="119"/>
        <v>3.2</v>
      </c>
      <c r="BU110">
        <f t="shared" si="124"/>
        <v>60</v>
      </c>
      <c r="BV110" s="6">
        <f t="shared" si="86"/>
        <v>129.10344827586206</v>
      </c>
      <c r="BW110" s="6">
        <f t="shared" si="87"/>
        <v>0.2840275862068965</v>
      </c>
      <c r="BX110" s="5">
        <f t="shared" si="88"/>
        <v>128.81942068965517</v>
      </c>
      <c r="BY110" s="5">
        <f t="shared" si="89"/>
        <v>40.256068965517237</v>
      </c>
      <c r="BZ110" s="5">
        <f t="shared" si="90"/>
        <v>40.256068965517237</v>
      </c>
      <c r="CA110" s="5">
        <f t="shared" si="91"/>
        <v>129.10344827586206</v>
      </c>
      <c r="CB110" s="7">
        <f t="shared" si="106"/>
        <v>1364.2699993569217</v>
      </c>
      <c r="CC110" s="5">
        <f t="shared" si="107"/>
        <v>1.1420961955174844</v>
      </c>
      <c r="CD110" s="7">
        <f t="shared" si="121"/>
        <v>75</v>
      </c>
      <c r="CE110" s="5">
        <f t="shared" si="108"/>
        <v>231.06976744186042</v>
      </c>
      <c r="CF110" s="5">
        <f t="shared" si="109"/>
        <v>3243.5022287796642</v>
      </c>
      <c r="CG110">
        <f t="shared" si="74"/>
        <v>75</v>
      </c>
      <c r="CH110" s="5">
        <f t="shared" si="110"/>
        <v>203.06079962790693</v>
      </c>
      <c r="CI110" s="5">
        <f t="shared" si="111"/>
        <v>2888.9656448544574</v>
      </c>
      <c r="CJ110" s="5">
        <f t="shared" si="112"/>
        <v>1.137933898937056</v>
      </c>
      <c r="CK110" s="5">
        <f t="shared" si="113"/>
        <v>1.1227209415095236</v>
      </c>
      <c r="CL110" s="5"/>
      <c r="CM110" s="5"/>
      <c r="CN110" s="5"/>
      <c r="CO110" s="51"/>
      <c r="CQ110" s="51"/>
      <c r="CR110" s="6"/>
      <c r="CT110" s="4"/>
      <c r="CU110" s="7"/>
      <c r="CX110" s="7"/>
      <c r="DA110" s="5"/>
      <c r="DB110" s="126"/>
      <c r="DC110" s="127"/>
      <c r="DD110" s="129"/>
      <c r="DE110" s="17"/>
      <c r="DF110" s="128"/>
      <c r="DG110" s="128"/>
      <c r="DH110" s="87"/>
      <c r="DI110" s="17"/>
      <c r="DJ110" s="128"/>
      <c r="DK110" s="87"/>
      <c r="DL110" s="17"/>
      <c r="DM110" s="87"/>
      <c r="DN110" s="87"/>
      <c r="DO110" s="87"/>
      <c r="DP110" s="87"/>
      <c r="DQ110" s="17"/>
      <c r="DR110" s="17"/>
      <c r="DU110" s="5"/>
      <c r="DV110" s="7"/>
      <c r="DX110" s="7"/>
      <c r="DY110" s="7"/>
      <c r="DZ110" s="5"/>
    </row>
    <row r="111" spans="3:130">
      <c r="D111" s="4"/>
      <c r="E111" s="39"/>
      <c r="F111" s="48"/>
      <c r="G111" s="4"/>
      <c r="H111" s="7"/>
      <c r="I111" s="48"/>
      <c r="M111" s="76">
        <v>5799.9000000000005</v>
      </c>
      <c r="N111" s="104">
        <v>40711</v>
      </c>
      <c r="O111" s="81">
        <v>40711</v>
      </c>
      <c r="P111" s="23">
        <v>5799.9000000000005</v>
      </c>
      <c r="Q111" s="24">
        <f t="shared" si="92"/>
        <v>1</v>
      </c>
      <c r="R111" s="114">
        <f t="shared" si="93"/>
        <v>74</v>
      </c>
      <c r="S111" s="39">
        <f t="shared" si="75"/>
        <v>5.7999000000000009</v>
      </c>
      <c r="T111" s="5">
        <f t="shared" si="76"/>
        <v>104.39820000000002</v>
      </c>
      <c r="U111" s="7">
        <f t="shared" si="77"/>
        <v>3896.2795941375416</v>
      </c>
      <c r="V111">
        <f t="shared" si="114"/>
        <v>3.2</v>
      </c>
      <c r="W111" s="77">
        <f t="shared" si="122"/>
        <v>60</v>
      </c>
      <c r="X111" s="6">
        <f t="shared" si="94"/>
        <v>233.77677564825248</v>
      </c>
      <c r="Y111" s="6">
        <f t="shared" si="95"/>
        <v>22.598032018038328</v>
      </c>
      <c r="Z111" s="5">
        <f t="shared" si="115"/>
        <v>211.17874363021414</v>
      </c>
      <c r="AA111" s="113">
        <f t="shared" si="78"/>
        <v>65.993357384441921</v>
      </c>
      <c r="AB111" s="5">
        <f t="shared" si="96"/>
        <v>65.993357384441921</v>
      </c>
      <c r="AC111" s="80">
        <f t="shared" si="97"/>
        <v>233.77677564825248</v>
      </c>
      <c r="AD111" s="5">
        <f t="shared" si="98"/>
        <v>35.829588205388909</v>
      </c>
      <c r="AE111" s="5">
        <f t="shared" si="99"/>
        <v>18.559680000000004</v>
      </c>
      <c r="AF111" s="5">
        <f t="shared" si="100"/>
        <v>22.598032018038332</v>
      </c>
      <c r="AG111" s="7">
        <f t="shared" si="79"/>
        <v>35829.588205388907</v>
      </c>
      <c r="AH111" s="5">
        <f t="shared" si="101"/>
        <v>211.17874363021414</v>
      </c>
      <c r="AI111" s="7">
        <f t="shared" si="102"/>
        <v>65993.357384441915</v>
      </c>
      <c r="AJ111" s="6">
        <f t="shared" si="103"/>
        <v>211.17874363021414</v>
      </c>
      <c r="AK111" s="7">
        <f t="shared" si="116"/>
        <v>2685.9048452265506</v>
      </c>
      <c r="AL111" s="7"/>
      <c r="AM111" s="7"/>
      <c r="AO111" s="18"/>
      <c r="AP111" s="4">
        <f t="shared" si="117"/>
        <v>40702</v>
      </c>
      <c r="AQ111" s="36">
        <f>+AU110</f>
        <v>0.41666666666666669</v>
      </c>
      <c r="AR111">
        <f>+AV110</f>
        <v>2700</v>
      </c>
      <c r="AT111" s="4">
        <v>40703</v>
      </c>
      <c r="AU111" s="36">
        <v>0.41666666666666669</v>
      </c>
      <c r="AV111">
        <v>350</v>
      </c>
      <c r="AX111" s="45">
        <f t="shared" si="80"/>
        <v>2350</v>
      </c>
      <c r="AY111" s="45">
        <f t="shared" si="81"/>
        <v>0</v>
      </c>
      <c r="AZ111" s="7">
        <f t="shared" si="82"/>
        <v>2350</v>
      </c>
      <c r="BA111" s="18">
        <f t="shared" si="83"/>
        <v>1</v>
      </c>
      <c r="BB111" s="6">
        <f t="shared" si="84"/>
        <v>24</v>
      </c>
      <c r="BI111" s="91"/>
      <c r="BJ111" s="99">
        <v>5.1520000000000001</v>
      </c>
      <c r="BK111" s="94">
        <v>40702</v>
      </c>
      <c r="BL111" s="12">
        <v>40702</v>
      </c>
      <c r="BM111" s="72">
        <f t="shared" si="85"/>
        <v>112</v>
      </c>
      <c r="BN111" s="18">
        <f t="shared" si="104"/>
        <v>1</v>
      </c>
      <c r="BO111">
        <f t="shared" si="105"/>
        <v>65</v>
      </c>
      <c r="BP111" s="5">
        <f t="shared" si="125"/>
        <v>5.1520000000000001</v>
      </c>
      <c r="BQ111" s="7">
        <f>+VLOOKUP(BL111,AP65:AZ113,9)</f>
        <v>2350</v>
      </c>
      <c r="BR111" s="7"/>
      <c r="BS111" s="7">
        <f t="shared" si="120"/>
        <v>2350</v>
      </c>
      <c r="BT111">
        <f t="shared" si="119"/>
        <v>3.2</v>
      </c>
      <c r="BU111">
        <f t="shared" si="124"/>
        <v>60</v>
      </c>
      <c r="BV111" s="6">
        <f t="shared" si="86"/>
        <v>141</v>
      </c>
      <c r="BW111" s="6">
        <f t="shared" si="87"/>
        <v>0.26319999999999999</v>
      </c>
      <c r="BX111" s="5">
        <f t="shared" si="88"/>
        <v>140.73679999999999</v>
      </c>
      <c r="BY111" s="5">
        <f t="shared" si="89"/>
        <v>43.980249999999991</v>
      </c>
      <c r="BZ111" s="5">
        <f t="shared" si="90"/>
        <v>43.980249999999991</v>
      </c>
      <c r="CA111" s="5">
        <f t="shared" si="91"/>
        <v>141</v>
      </c>
      <c r="CB111" s="7">
        <f t="shared" si="106"/>
        <v>1505.2699993569217</v>
      </c>
      <c r="CC111" s="5">
        <f t="shared" si="107"/>
        <v>1.143349901804614</v>
      </c>
      <c r="CD111" s="7">
        <f t="shared" si="121"/>
        <v>76</v>
      </c>
      <c r="CE111" s="5">
        <f t="shared" si="108"/>
        <v>241.09339407744872</v>
      </c>
      <c r="CF111" s="5">
        <f t="shared" si="109"/>
        <v>3484.5956228571131</v>
      </c>
      <c r="CG111">
        <f t="shared" si="74"/>
        <v>76</v>
      </c>
      <c r="CH111" s="5">
        <f t="shared" si="110"/>
        <v>187.63370651480636</v>
      </c>
      <c r="CI111" s="5">
        <f t="shared" si="111"/>
        <v>3076.5993513692638</v>
      </c>
      <c r="CJ111" s="5">
        <f t="shared" si="112"/>
        <v>1.2849151602642557</v>
      </c>
      <c r="CK111" s="5">
        <f t="shared" si="113"/>
        <v>1.1326127405267337</v>
      </c>
      <c r="CL111" s="5"/>
      <c r="CM111" s="5"/>
      <c r="CN111" s="5"/>
      <c r="CO111" s="51"/>
      <c r="CQ111" s="51"/>
      <c r="CR111" s="6"/>
      <c r="CT111" s="4"/>
      <c r="CU111" s="7"/>
      <c r="CX111" s="7"/>
      <c r="DA111" s="5"/>
      <c r="DB111" s="126"/>
      <c r="DC111" s="127"/>
      <c r="DD111" s="129"/>
      <c r="DE111" s="125"/>
      <c r="DF111" s="128"/>
      <c r="DG111" s="128"/>
      <c r="DH111" s="90"/>
      <c r="DI111" s="17"/>
      <c r="DJ111" s="128"/>
      <c r="DK111" s="87"/>
      <c r="DL111" s="17"/>
      <c r="DM111" s="87"/>
      <c r="DN111" s="87"/>
      <c r="DO111" s="87"/>
      <c r="DP111" s="87"/>
      <c r="DQ111" s="17"/>
      <c r="DR111" s="17"/>
      <c r="DU111" s="5"/>
      <c r="DV111" s="7"/>
      <c r="DX111" s="7"/>
      <c r="DY111" s="7"/>
      <c r="DZ111" s="5"/>
    </row>
    <row r="112" spans="3:130">
      <c r="C112" s="16"/>
      <c r="D112" s="4"/>
      <c r="E112" s="39"/>
      <c r="F112" s="48"/>
      <c r="G112" s="4"/>
      <c r="H112" s="7"/>
      <c r="I112" s="48"/>
      <c r="M112" s="76">
        <v>72728.599999999991</v>
      </c>
      <c r="N112" s="104">
        <v>40712</v>
      </c>
      <c r="O112" s="81">
        <v>40712</v>
      </c>
      <c r="P112" s="23">
        <v>7272.86</v>
      </c>
      <c r="Q112" s="24">
        <f t="shared" si="92"/>
        <v>1</v>
      </c>
      <c r="R112" s="21">
        <f t="shared" si="93"/>
        <v>75</v>
      </c>
      <c r="S112" s="39">
        <f t="shared" ref="S112:S136" si="126">+P112/1000</f>
        <v>7.2728599999999997</v>
      </c>
      <c r="T112" s="5">
        <f t="shared" ref="T112:T136" si="127">18*P112/1000</f>
        <v>130.91147999999998</v>
      </c>
      <c r="U112" s="7">
        <f t="shared" ref="U112:U136" si="128">+VLOOKUP(O112,$AP$48:$AZ$195,9)</f>
        <v>3851.1627906976737</v>
      </c>
      <c r="V112">
        <f t="shared" si="114"/>
        <v>3.2</v>
      </c>
      <c r="W112" s="77">
        <f t="shared" si="122"/>
        <v>60</v>
      </c>
      <c r="X112" s="6">
        <f t="shared" si="94"/>
        <v>231.06976744186042</v>
      </c>
      <c r="Y112" s="6">
        <f t="shared" si="95"/>
        <v>28.008967813953483</v>
      </c>
      <c r="Z112" s="5">
        <f t="shared" si="115"/>
        <v>203.06079962790693</v>
      </c>
      <c r="AA112" s="5">
        <f t="shared" ref="AA112:AA143" si="129">+Z112/V112</f>
        <v>63.456499883720916</v>
      </c>
      <c r="AB112" s="5">
        <f t="shared" si="96"/>
        <v>63.456499883720916</v>
      </c>
      <c r="AC112" s="80">
        <f t="shared" si="97"/>
        <v>231.06976744186042</v>
      </c>
      <c r="AD112" s="5">
        <f t="shared" si="98"/>
        <v>35.402593139841684</v>
      </c>
      <c r="AE112" s="5">
        <f t="shared" si="99"/>
        <v>23.273152000000003</v>
      </c>
      <c r="AF112" s="5">
        <f t="shared" si="100"/>
        <v>28.008967813953483</v>
      </c>
      <c r="AG112" s="7">
        <f t="shared" ref="AG112:AG136" si="130">+AD112*1000</f>
        <v>35402.593139841687</v>
      </c>
      <c r="AH112" s="5">
        <f t="shared" si="101"/>
        <v>203.06079962790693</v>
      </c>
      <c r="AI112" s="7">
        <f t="shared" si="102"/>
        <v>63456.499883720913</v>
      </c>
      <c r="AJ112" s="6">
        <f t="shared" si="103"/>
        <v>203.06079962790693</v>
      </c>
      <c r="AK112" s="7">
        <f t="shared" si="116"/>
        <v>2888.9656448544574</v>
      </c>
      <c r="AL112" s="7"/>
      <c r="AM112" s="7"/>
      <c r="AO112" s="18"/>
      <c r="AP112" s="4">
        <f t="shared" si="117"/>
        <v>40703</v>
      </c>
      <c r="AQ112" s="36">
        <f>+AU111</f>
        <v>0.41666666666666669</v>
      </c>
      <c r="AR112">
        <v>4000</v>
      </c>
      <c r="AT112" s="4">
        <v>40704</v>
      </c>
      <c r="AU112" s="36">
        <v>0.48680555555555555</v>
      </c>
      <c r="AV112">
        <v>2500</v>
      </c>
      <c r="AX112" s="45">
        <f t="shared" ref="AX112:AX130" si="131">+(AR112-AV112)/BB112*24</f>
        <v>1401.6872160934456</v>
      </c>
      <c r="AY112" s="45">
        <f t="shared" ref="AY112:AY143" si="132">+(AS112-AW112)/BB112*24</f>
        <v>0</v>
      </c>
      <c r="AZ112" s="7">
        <f t="shared" ref="AZ112:AZ143" si="133">+AY112+AX112</f>
        <v>1401.6872160934456</v>
      </c>
      <c r="BA112" s="18">
        <f t="shared" ref="BA112:BA143" si="134">+AT112-AP112</f>
        <v>1</v>
      </c>
      <c r="BB112" s="6">
        <f t="shared" ref="BB112:BB143" si="135">IF(BA112=0,+BA112*24+HOUR(AU112-AQ112)+MINUTE(AU112-AQ112)/60,+HOUR(AU112)+MINUTE(AU112)/60+BA112*24-HOUR(AQ112)-MINUTE(AQ112)/60)</f>
        <v>25.683333333333337</v>
      </c>
      <c r="BI112" s="91"/>
      <c r="BJ112" s="99">
        <v>4.37</v>
      </c>
      <c r="BK112" s="94">
        <v>40704</v>
      </c>
      <c r="BL112" s="12">
        <v>40704</v>
      </c>
      <c r="BM112" s="72">
        <f t="shared" ref="BM112:BM137" si="136">+BP112/46*1000</f>
        <v>95</v>
      </c>
      <c r="BN112" s="18">
        <f t="shared" si="104"/>
        <v>2</v>
      </c>
      <c r="BO112">
        <f t="shared" si="105"/>
        <v>67</v>
      </c>
      <c r="BP112" s="5">
        <f t="shared" si="125"/>
        <v>4.37</v>
      </c>
      <c r="BQ112" s="7">
        <f t="shared" ref="BQ112:BQ138" si="137">+VLOOKUP(BL112,AP48:AZ152,9)</f>
        <v>2401.9062748212864</v>
      </c>
      <c r="BR112" s="7"/>
      <c r="BS112" s="7">
        <f t="shared" si="120"/>
        <v>2401.9062748212864</v>
      </c>
      <c r="BT112">
        <f t="shared" si="119"/>
        <v>3.2</v>
      </c>
      <c r="BU112">
        <f t="shared" si="124"/>
        <v>60</v>
      </c>
      <c r="BV112" s="6">
        <f t="shared" ref="BV112:BV143" si="138">+BQ112*BU112/1000</f>
        <v>144.11437648927716</v>
      </c>
      <c r="BW112" s="6">
        <f t="shared" ref="BW112:BW143" si="139">+BS112*BM112/1000000</f>
        <v>0.2281810961080222</v>
      </c>
      <c r="BX112" s="5">
        <f t="shared" ref="BX112:BX143" si="140">+BV112-BW112</f>
        <v>143.88619539316915</v>
      </c>
      <c r="BY112" s="5">
        <f t="shared" ref="BY112:BY143" si="141">+BX112/BT112</f>
        <v>44.964436060365358</v>
      </c>
      <c r="BZ112" s="5">
        <f t="shared" ref="BZ112:BZ143" si="142">+(BU112*BS112-BM112/1000*BS112)/1000/BT112</f>
        <v>44.964436060365358</v>
      </c>
      <c r="CA112" s="5">
        <f t="shared" ref="CA112:CA135" si="143">+BV112*BN112</f>
        <v>288.22875297855433</v>
      </c>
      <c r="CB112" s="7">
        <f t="shared" si="106"/>
        <v>1793.4987523354762</v>
      </c>
      <c r="CC112" s="5">
        <f t="shared" si="107"/>
        <v>1.1435858534053895</v>
      </c>
      <c r="CD112" s="7">
        <f t="shared" si="121"/>
        <v>77</v>
      </c>
      <c r="CE112" s="5">
        <f t="shared" si="108"/>
        <v>221.78571428571428</v>
      </c>
      <c r="CF112" s="5">
        <f t="shared" si="109"/>
        <v>3706.3813371428273</v>
      </c>
      <c r="CG112">
        <f t="shared" si="74"/>
        <v>77</v>
      </c>
      <c r="CH112" s="5">
        <f t="shared" si="110"/>
        <v>188.04811500000002</v>
      </c>
      <c r="CI112" s="5">
        <f t="shared" si="111"/>
        <v>3264.6474663692638</v>
      </c>
      <c r="CJ112" s="5">
        <f t="shared" si="112"/>
        <v>1.1794093989493819</v>
      </c>
      <c r="CK112" s="5">
        <f t="shared" si="113"/>
        <v>1.1353082914232182</v>
      </c>
      <c r="CL112" s="5"/>
      <c r="CM112" s="5"/>
      <c r="CN112" s="5"/>
      <c r="CO112" s="51"/>
      <c r="CQ112" s="51"/>
      <c r="CR112" s="6"/>
      <c r="CT112" s="4"/>
      <c r="CU112" s="7"/>
      <c r="CX112" s="7"/>
      <c r="DA112" s="5"/>
      <c r="DB112" s="126"/>
      <c r="DC112" s="127"/>
      <c r="DD112" s="129"/>
      <c r="DE112" s="17"/>
      <c r="DF112" s="128"/>
      <c r="DG112" s="128"/>
      <c r="DH112" s="87"/>
      <c r="DI112" s="17"/>
      <c r="DJ112" s="128"/>
      <c r="DK112" s="87"/>
      <c r="DL112" s="17"/>
      <c r="DM112" s="87"/>
      <c r="DN112" s="87"/>
      <c r="DO112" s="87"/>
      <c r="DP112" s="87"/>
      <c r="DQ112" s="17"/>
      <c r="DR112" s="17"/>
      <c r="DU112" s="5"/>
      <c r="DV112" s="7"/>
      <c r="DX112" s="7"/>
      <c r="DY112" s="7"/>
      <c r="DZ112" s="5"/>
    </row>
    <row r="113" spans="2:130">
      <c r="C113" s="16"/>
      <c r="D113" s="4"/>
      <c r="E113" s="39"/>
      <c r="F113" s="48"/>
      <c r="G113" s="4"/>
      <c r="H113" s="7"/>
      <c r="I113" s="48"/>
      <c r="M113" s="76">
        <v>83043.100000000006</v>
      </c>
      <c r="N113" s="104">
        <v>40713</v>
      </c>
      <c r="O113" s="81">
        <v>40713</v>
      </c>
      <c r="P113" s="23">
        <v>8304.3100000000013</v>
      </c>
      <c r="Q113" s="24">
        <f t="shared" ref="Q113:Q136" si="144">+DAY(O113-O112)</f>
        <v>1</v>
      </c>
      <c r="R113" s="21">
        <f t="shared" ref="R113:R144" si="145">+Q113+R112</f>
        <v>76</v>
      </c>
      <c r="S113" s="39">
        <f t="shared" si="126"/>
        <v>8.304310000000001</v>
      </c>
      <c r="T113" s="5">
        <f t="shared" si="127"/>
        <v>149.47758000000002</v>
      </c>
      <c r="U113" s="7">
        <f t="shared" si="128"/>
        <v>4018.2232346241453</v>
      </c>
      <c r="V113">
        <f t="shared" si="114"/>
        <v>3.2</v>
      </c>
      <c r="W113" s="77">
        <v>55</v>
      </c>
      <c r="X113" s="6">
        <f t="shared" ref="X113:X144" si="146">+U113*W113/1000</f>
        <v>221.002277904328</v>
      </c>
      <c r="Y113" s="6">
        <f t="shared" ref="Y113:Y136" si="147">+U113*P113/1000000</f>
        <v>33.368571389521641</v>
      </c>
      <c r="Z113" s="5">
        <f t="shared" si="115"/>
        <v>187.63370651480636</v>
      </c>
      <c r="AA113" s="5">
        <f t="shared" si="129"/>
        <v>58.635533285876988</v>
      </c>
      <c r="AB113" s="5">
        <f t="shared" ref="AB113:AB136" si="148">+(W113-P113/1000)*U113/1000/V113</f>
        <v>58.635533285876974</v>
      </c>
      <c r="AC113" s="80">
        <f t="shared" ref="AC113:AC136" si="149">+X113</f>
        <v>221.002277904328</v>
      </c>
      <c r="AD113" s="5">
        <f t="shared" ref="AD113:AD144" si="150">+(AE112+AC113)/(V113+U113/1000)</f>
        <v>33.841490068164603</v>
      </c>
      <c r="AE113" s="5">
        <f t="shared" ref="AE113:AE136" si="151">+V113*P113/1000</f>
        <v>26.573792000000005</v>
      </c>
      <c r="AF113" s="5">
        <f t="shared" ref="AF113:AF136" si="152">+U113/1000*P113/1000</f>
        <v>33.368571389521648</v>
      </c>
      <c r="AG113" s="7">
        <f t="shared" si="130"/>
        <v>33841.490068164603</v>
      </c>
      <c r="AH113" s="5">
        <f t="shared" ref="AH113:AH136" si="153">+AC113-AF113</f>
        <v>187.63370651480636</v>
      </c>
      <c r="AI113" s="7">
        <f t="shared" ref="AI113:AI144" si="154">+AH113*1000/V113</f>
        <v>58635.533285876991</v>
      </c>
      <c r="AJ113" s="6">
        <f t="shared" ref="AJ113:AJ136" si="155">+Q113*Z113</f>
        <v>187.63370651480636</v>
      </c>
      <c r="AK113" s="7">
        <f t="shared" si="116"/>
        <v>3076.5993513692638</v>
      </c>
      <c r="AL113" s="7"/>
      <c r="AM113" s="7"/>
      <c r="AO113" s="18"/>
      <c r="AP113" s="4">
        <f t="shared" si="117"/>
        <v>40704</v>
      </c>
      <c r="AQ113" s="36">
        <v>0.55763888888888891</v>
      </c>
      <c r="AR113">
        <f>+AV112</f>
        <v>2500</v>
      </c>
      <c r="AT113" s="4">
        <v>40705</v>
      </c>
      <c r="AU113" s="36">
        <v>0.43194444444444446</v>
      </c>
      <c r="AV113">
        <v>400</v>
      </c>
      <c r="AX113" s="45">
        <f t="shared" si="131"/>
        <v>2401.9062748212864</v>
      </c>
      <c r="AY113" s="45">
        <f t="shared" si="132"/>
        <v>0</v>
      </c>
      <c r="AZ113" s="7">
        <f t="shared" si="133"/>
        <v>2401.9062748212864</v>
      </c>
      <c r="BA113" s="18">
        <f t="shared" si="134"/>
        <v>1</v>
      </c>
      <c r="BB113" s="6">
        <f t="shared" si="135"/>
        <v>20.983333333333334</v>
      </c>
      <c r="BI113" s="91"/>
      <c r="BJ113" s="99">
        <v>0</v>
      </c>
      <c r="BK113" s="94">
        <v>40705</v>
      </c>
      <c r="BL113" s="12">
        <v>40705</v>
      </c>
      <c r="BM113" s="72">
        <f t="shared" si="136"/>
        <v>0</v>
      </c>
      <c r="BN113" s="18">
        <f t="shared" ref="BN113:BN144" si="156">+DAY(BL113-BL112)</f>
        <v>1</v>
      </c>
      <c r="BO113">
        <f t="shared" ref="BO113:BO144" si="157">+BN113+BO112</f>
        <v>68</v>
      </c>
      <c r="BP113" s="5">
        <f t="shared" si="125"/>
        <v>0</v>
      </c>
      <c r="BQ113" s="7">
        <f t="shared" si="137"/>
        <v>1957.8518014955812</v>
      </c>
      <c r="BR113" s="7" t="s">
        <v>130</v>
      </c>
      <c r="BS113" s="7">
        <f t="shared" si="120"/>
        <v>1957.8518014955812</v>
      </c>
      <c r="BT113">
        <f t="shared" si="119"/>
        <v>3.2</v>
      </c>
      <c r="BU113">
        <f t="shared" si="124"/>
        <v>60</v>
      </c>
      <c r="BV113" s="6">
        <f t="shared" si="138"/>
        <v>117.47110808973487</v>
      </c>
      <c r="BW113" s="6">
        <f t="shared" si="139"/>
        <v>0</v>
      </c>
      <c r="BX113" s="5">
        <f t="shared" si="140"/>
        <v>117.47110808973487</v>
      </c>
      <c r="BY113" s="5">
        <f t="shared" si="141"/>
        <v>36.709721278042146</v>
      </c>
      <c r="BZ113" s="5">
        <f t="shared" si="142"/>
        <v>36.709721278042146</v>
      </c>
      <c r="CA113" s="5">
        <f t="shared" si="143"/>
        <v>117.47110808973487</v>
      </c>
      <c r="CB113" s="7">
        <f t="shared" ref="CB113:CB144" si="158">+CA113+CB112</f>
        <v>1910.969860425211</v>
      </c>
      <c r="CC113" s="5">
        <f t="shared" ref="CC113:CC144" si="159">+CB113/+VLOOKUP(BO113,$R$49:$AK$126,20)</f>
        <v>1.1379680947811712</v>
      </c>
      <c r="CD113" s="7">
        <f t="shared" si="121"/>
        <v>78</v>
      </c>
      <c r="CE113" s="5">
        <f t="shared" ref="CE113:CE144" si="160">+VLOOKUP(CD113,$BO$48:$BX$151,10)</f>
        <v>238.4943538268507</v>
      </c>
      <c r="CF113" s="5">
        <f t="shared" ref="CF113:CF124" si="161">+VLOOKUP(CD113,$BO$48:$CB$151,14)</f>
        <v>3944.8756909696781</v>
      </c>
      <c r="CG113">
        <f t="shared" si="74"/>
        <v>78</v>
      </c>
      <c r="CH113" s="5">
        <f t="shared" ref="CH113:CH144" si="162">+VLOOKUP(CG113,$R$49:$Z$152,9)</f>
        <v>205.57390494353828</v>
      </c>
      <c r="CI113" s="5">
        <f t="shared" ref="CI113:CI124" si="163">+VLOOKUP(CG113,$R$49:$AK$152,20)</f>
        <v>3470.2213713128021</v>
      </c>
      <c r="CJ113" s="5">
        <f t="shared" ref="CJ113:CJ124" si="164">+CE113/CH113</f>
        <v>1.1601392399115742</v>
      </c>
      <c r="CK113" s="5">
        <f t="shared" ref="CK113:CK124" si="165">+CF113/CI113</f>
        <v>1.1367792624357309</v>
      </c>
      <c r="CL113" s="5"/>
      <c r="CM113" s="5"/>
      <c r="CN113" s="5"/>
      <c r="CO113" s="51"/>
      <c r="CQ113" s="51"/>
      <c r="CR113" s="6"/>
      <c r="CT113" s="4"/>
      <c r="CU113" s="7"/>
      <c r="CX113" s="7"/>
      <c r="DA113" s="5"/>
      <c r="DB113" s="126"/>
      <c r="DC113" s="127"/>
      <c r="DD113" s="129"/>
      <c r="DE113" s="17"/>
      <c r="DF113" s="128"/>
      <c r="DG113" s="128"/>
      <c r="DH113" s="87"/>
      <c r="DI113" s="17"/>
      <c r="DJ113" s="128"/>
      <c r="DK113" s="87"/>
      <c r="DL113" s="17"/>
      <c r="DM113" s="87"/>
      <c r="DN113" s="87"/>
      <c r="DO113" s="87"/>
      <c r="DP113" s="87"/>
      <c r="DQ113" s="17"/>
      <c r="DR113" s="17"/>
      <c r="DU113" s="5"/>
      <c r="DV113" s="7"/>
      <c r="DX113" s="7"/>
      <c r="DY113" s="7"/>
      <c r="DZ113" s="5"/>
    </row>
    <row r="114" spans="2:130">
      <c r="C114" s="16"/>
      <c r="D114" s="4"/>
      <c r="E114" s="39"/>
      <c r="F114" s="48"/>
      <c r="G114" s="4"/>
      <c r="H114" s="7"/>
      <c r="I114" s="48"/>
      <c r="M114" s="76">
        <v>41270.800000000003</v>
      </c>
      <c r="N114" s="104">
        <v>40714</v>
      </c>
      <c r="O114" s="81">
        <v>40714</v>
      </c>
      <c r="P114" s="23">
        <v>4127.08</v>
      </c>
      <c r="Q114" s="24">
        <f t="shared" si="144"/>
        <v>1</v>
      </c>
      <c r="R114" s="21">
        <f t="shared" si="145"/>
        <v>77</v>
      </c>
      <c r="S114" s="39">
        <f t="shared" si="126"/>
        <v>4.1270800000000003</v>
      </c>
      <c r="T114" s="5">
        <f t="shared" si="127"/>
        <v>74.287440000000004</v>
      </c>
      <c r="U114" s="7">
        <f t="shared" si="128"/>
        <v>3696.4285714285716</v>
      </c>
      <c r="V114">
        <f t="shared" ref="V114:V136" si="166">+V113</f>
        <v>3.2</v>
      </c>
      <c r="W114" s="77">
        <f>+W113</f>
        <v>55</v>
      </c>
      <c r="X114" s="6">
        <f t="shared" si="146"/>
        <v>203.30357142857144</v>
      </c>
      <c r="Y114" s="6">
        <f t="shared" si="147"/>
        <v>15.25545642857143</v>
      </c>
      <c r="Z114" s="5">
        <f t="shared" ref="Z114:Z145" si="167">+X114-Y114</f>
        <v>188.04811500000002</v>
      </c>
      <c r="AA114" s="5">
        <f t="shared" si="129"/>
        <v>58.765035937500002</v>
      </c>
      <c r="AB114" s="5">
        <f t="shared" si="148"/>
        <v>58.765035937500002</v>
      </c>
      <c r="AC114" s="80">
        <f t="shared" si="149"/>
        <v>203.30357142857144</v>
      </c>
      <c r="AD114" s="5">
        <f t="shared" si="150"/>
        <v>33.332812925945106</v>
      </c>
      <c r="AE114" s="5">
        <f t="shared" si="151"/>
        <v>13.206656000000001</v>
      </c>
      <c r="AF114" s="5">
        <f t="shared" si="152"/>
        <v>15.25545642857143</v>
      </c>
      <c r="AG114" s="7">
        <f t="shared" si="130"/>
        <v>33332.812925945109</v>
      </c>
      <c r="AH114" s="5">
        <f t="shared" si="153"/>
        <v>188.04811500000002</v>
      </c>
      <c r="AI114" s="7">
        <f t="shared" si="154"/>
        <v>58765.035937500004</v>
      </c>
      <c r="AJ114" s="6">
        <f t="shared" si="155"/>
        <v>188.04811500000002</v>
      </c>
      <c r="AK114" s="7">
        <f t="shared" ref="AK114:AK145" si="168">+AJ114+AK113</f>
        <v>3264.6474663692638</v>
      </c>
      <c r="AL114" s="7"/>
      <c r="AM114" s="7"/>
      <c r="AO114" s="18"/>
      <c r="AP114" s="4">
        <f t="shared" si="117"/>
        <v>40705</v>
      </c>
      <c r="AQ114" s="36">
        <v>0.45416666666666666</v>
      </c>
      <c r="AR114">
        <v>4000</v>
      </c>
      <c r="AT114" s="4">
        <v>40706</v>
      </c>
      <c r="AU114" s="36">
        <v>0.47569444444444442</v>
      </c>
      <c r="AV114">
        <v>2000</v>
      </c>
      <c r="AX114" s="45">
        <f t="shared" si="131"/>
        <v>1957.8518014955812</v>
      </c>
      <c r="AY114" s="45">
        <f t="shared" si="132"/>
        <v>0</v>
      </c>
      <c r="AZ114" s="7">
        <f t="shared" si="133"/>
        <v>1957.8518014955812</v>
      </c>
      <c r="BA114" s="18">
        <f t="shared" si="134"/>
        <v>1</v>
      </c>
      <c r="BB114" s="6">
        <f t="shared" si="135"/>
        <v>24.516666666666666</v>
      </c>
      <c r="BI114" s="91"/>
      <c r="BJ114" s="99">
        <v>0</v>
      </c>
      <c r="BK114" s="94">
        <v>40706</v>
      </c>
      <c r="BL114" s="12">
        <v>40706</v>
      </c>
      <c r="BM114" s="72">
        <f t="shared" si="136"/>
        <v>0</v>
      </c>
      <c r="BN114" s="18">
        <f t="shared" si="156"/>
        <v>1</v>
      </c>
      <c r="BO114">
        <f t="shared" si="157"/>
        <v>69</v>
      </c>
      <c r="BP114" s="5">
        <f t="shared" si="125"/>
        <v>0</v>
      </c>
      <c r="BQ114" s="7">
        <f t="shared" si="137"/>
        <v>2754.0983606557375</v>
      </c>
      <c r="BR114" s="7"/>
      <c r="BS114" s="7">
        <f t="shared" si="120"/>
        <v>2754.0983606557375</v>
      </c>
      <c r="BT114">
        <f t="shared" si="119"/>
        <v>3.2</v>
      </c>
      <c r="BU114">
        <f t="shared" si="124"/>
        <v>60</v>
      </c>
      <c r="BV114" s="6">
        <f t="shared" si="138"/>
        <v>165.24590163934425</v>
      </c>
      <c r="BW114" s="6">
        <f t="shared" si="139"/>
        <v>0</v>
      </c>
      <c r="BX114" s="5">
        <f t="shared" si="140"/>
        <v>165.24590163934425</v>
      </c>
      <c r="BY114" s="5">
        <f t="shared" si="141"/>
        <v>51.639344262295076</v>
      </c>
      <c r="BZ114" s="5">
        <f t="shared" si="142"/>
        <v>51.639344262295076</v>
      </c>
      <c r="CA114" s="5">
        <f t="shared" si="143"/>
        <v>165.24590163934425</v>
      </c>
      <c r="CB114" s="7">
        <f t="shared" si="158"/>
        <v>2076.2157620645553</v>
      </c>
      <c r="CC114" s="5">
        <f t="shared" si="159"/>
        <v>1.1301302160418178</v>
      </c>
      <c r="CD114" s="7">
        <v>80</v>
      </c>
      <c r="CE114" s="5">
        <f t="shared" si="160"/>
        <v>223.25581395348837</v>
      </c>
      <c r="CF114" s="5">
        <f t="shared" si="161"/>
        <v>4399.2652628849501</v>
      </c>
      <c r="CG114">
        <f t="shared" si="74"/>
        <v>80</v>
      </c>
      <c r="CH114" s="5">
        <f t="shared" si="162"/>
        <v>189.62656744186043</v>
      </c>
      <c r="CI114" s="5">
        <f t="shared" si="163"/>
        <v>3849.4745061965232</v>
      </c>
      <c r="CJ114" s="5">
        <f t="shared" si="164"/>
        <v>1.1773445934570255</v>
      </c>
      <c r="CK114" s="5">
        <f t="shared" si="165"/>
        <v>1.142822288030074</v>
      </c>
      <c r="CL114" s="5"/>
      <c r="CM114" s="5"/>
      <c r="CN114" s="5"/>
      <c r="CO114" s="51"/>
      <c r="CQ114" s="51"/>
      <c r="CR114" s="6"/>
      <c r="CT114" s="4"/>
      <c r="CU114" s="7"/>
      <c r="CX114" s="7"/>
      <c r="DA114" s="5"/>
      <c r="DB114" s="126"/>
      <c r="DC114" s="127"/>
      <c r="DD114" s="129"/>
      <c r="DE114" s="17"/>
      <c r="DF114" s="128"/>
      <c r="DG114" s="128"/>
      <c r="DH114" s="87"/>
      <c r="DI114" s="17"/>
      <c r="DJ114" s="128"/>
      <c r="DK114" s="87"/>
      <c r="DL114" s="17"/>
      <c r="DM114" s="87"/>
      <c r="DN114" s="87"/>
      <c r="DO114" s="87"/>
      <c r="DP114" s="87"/>
      <c r="DQ114" s="17"/>
      <c r="DR114" s="17"/>
      <c r="DU114" s="5"/>
      <c r="DV114" s="7"/>
      <c r="DX114" s="7"/>
      <c r="DY114" s="7"/>
      <c r="DZ114" s="5"/>
    </row>
    <row r="115" spans="2:130">
      <c r="D115" s="4"/>
      <c r="E115" s="39"/>
      <c r="F115" s="48"/>
      <c r="G115" s="4"/>
      <c r="H115" s="7"/>
      <c r="I115" s="48"/>
      <c r="M115" s="76">
        <v>32820.699999999997</v>
      </c>
      <c r="N115" s="104">
        <v>40715</v>
      </c>
      <c r="O115" s="81">
        <v>40715</v>
      </c>
      <c r="P115" s="23">
        <v>3282.0699999999997</v>
      </c>
      <c r="Q115" s="24">
        <f t="shared" si="144"/>
        <v>1</v>
      </c>
      <c r="R115" s="21">
        <f t="shared" si="145"/>
        <v>78</v>
      </c>
      <c r="S115" s="39">
        <f t="shared" si="126"/>
        <v>3.2820699999999996</v>
      </c>
      <c r="T115" s="5">
        <f t="shared" si="127"/>
        <v>59.077259999999995</v>
      </c>
      <c r="U115" s="7">
        <f t="shared" si="128"/>
        <v>3974.9058971141785</v>
      </c>
      <c r="V115">
        <f t="shared" si="166"/>
        <v>3.2</v>
      </c>
      <c r="W115" s="77">
        <f>+W114</f>
        <v>55</v>
      </c>
      <c r="X115" s="6">
        <f t="shared" si="146"/>
        <v>218.61982434127981</v>
      </c>
      <c r="Y115" s="6">
        <f t="shared" si="147"/>
        <v>13.04591939774153</v>
      </c>
      <c r="Z115" s="5">
        <f t="shared" si="167"/>
        <v>205.57390494353828</v>
      </c>
      <c r="AA115" s="5">
        <f t="shared" si="129"/>
        <v>64.241845294855707</v>
      </c>
      <c r="AB115" s="5">
        <f t="shared" si="148"/>
        <v>64.241845294855722</v>
      </c>
      <c r="AC115" s="80">
        <f t="shared" si="149"/>
        <v>218.61982434127981</v>
      </c>
      <c r="AD115" s="5">
        <f t="shared" si="150"/>
        <v>32.310734616675994</v>
      </c>
      <c r="AE115" s="5">
        <f t="shared" si="151"/>
        <v>10.502623999999999</v>
      </c>
      <c r="AF115" s="5">
        <f t="shared" si="152"/>
        <v>13.04591939774153</v>
      </c>
      <c r="AG115" s="7">
        <f t="shared" si="130"/>
        <v>32310.734616675993</v>
      </c>
      <c r="AH115" s="5">
        <f t="shared" si="153"/>
        <v>205.57390494353828</v>
      </c>
      <c r="AI115" s="7">
        <f t="shared" si="154"/>
        <v>64241.84529485571</v>
      </c>
      <c r="AJ115" s="6">
        <f t="shared" si="155"/>
        <v>205.57390494353828</v>
      </c>
      <c r="AK115" s="7">
        <f t="shared" si="168"/>
        <v>3470.2213713128021</v>
      </c>
      <c r="AL115" s="7"/>
      <c r="AM115" s="7"/>
      <c r="AO115" s="18"/>
      <c r="AP115" s="4">
        <f t="shared" si="117"/>
        <v>40706</v>
      </c>
      <c r="AQ115" s="36">
        <v>0.68263888888888891</v>
      </c>
      <c r="AR115">
        <v>4000</v>
      </c>
      <c r="AT115" s="4">
        <v>40707</v>
      </c>
      <c r="AU115" s="36">
        <v>0.44513888888888892</v>
      </c>
      <c r="AV115">
        <v>1900</v>
      </c>
      <c r="AX115" s="45">
        <f t="shared" si="131"/>
        <v>2754.0983606557375</v>
      </c>
      <c r="AY115" s="45">
        <f t="shared" si="132"/>
        <v>0</v>
      </c>
      <c r="AZ115" s="7">
        <f t="shared" si="133"/>
        <v>2754.0983606557375</v>
      </c>
      <c r="BA115" s="18">
        <f t="shared" si="134"/>
        <v>1</v>
      </c>
      <c r="BB115" s="6">
        <f t="shared" si="135"/>
        <v>18.300000000000004</v>
      </c>
      <c r="BI115" s="91"/>
      <c r="BJ115" s="99">
        <v>0</v>
      </c>
      <c r="BK115" s="94">
        <v>40707</v>
      </c>
      <c r="BL115" s="12">
        <v>40707</v>
      </c>
      <c r="BM115" s="72">
        <f t="shared" si="136"/>
        <v>0</v>
      </c>
      <c r="BN115" s="18">
        <f t="shared" si="156"/>
        <v>1</v>
      </c>
      <c r="BO115">
        <f t="shared" si="157"/>
        <v>70</v>
      </c>
      <c r="BP115" s="5">
        <f t="shared" si="125"/>
        <v>0</v>
      </c>
      <c r="BQ115" s="7">
        <f t="shared" si="137"/>
        <v>2596.5439519158526</v>
      </c>
      <c r="BR115" s="7"/>
      <c r="BS115" s="7">
        <f t="shared" si="120"/>
        <v>2596.5439519158526</v>
      </c>
      <c r="BT115">
        <f t="shared" si="119"/>
        <v>3.2</v>
      </c>
      <c r="BU115">
        <f t="shared" si="124"/>
        <v>60</v>
      </c>
      <c r="BV115" s="6">
        <f t="shared" si="138"/>
        <v>155.79263711495116</v>
      </c>
      <c r="BW115" s="6">
        <f t="shared" si="139"/>
        <v>0</v>
      </c>
      <c r="BX115" s="5">
        <f t="shared" si="140"/>
        <v>155.79263711495116</v>
      </c>
      <c r="BY115" s="5">
        <f t="shared" si="141"/>
        <v>48.685199098422238</v>
      </c>
      <c r="BZ115" s="5">
        <f t="shared" si="142"/>
        <v>48.685199098422238</v>
      </c>
      <c r="CA115" s="5">
        <f t="shared" si="143"/>
        <v>155.79263711495116</v>
      </c>
      <c r="CB115" s="7">
        <f t="shared" si="158"/>
        <v>2232.0083991795063</v>
      </c>
      <c r="CC115" s="5">
        <f t="shared" si="159"/>
        <v>1.1271830271922425</v>
      </c>
      <c r="CD115" s="7">
        <f t="shared" ref="CD115:CD124" si="169">+BO126</f>
        <v>81</v>
      </c>
      <c r="CE115" s="5">
        <f t="shared" si="160"/>
        <v>242.0462850182704</v>
      </c>
      <c r="CF115" s="5">
        <f t="shared" si="161"/>
        <v>4641.3115479032203</v>
      </c>
      <c r="CG115">
        <f t="shared" si="74"/>
        <v>81</v>
      </c>
      <c r="CH115" s="5">
        <f t="shared" si="162"/>
        <v>209.52772969549329</v>
      </c>
      <c r="CI115" s="5">
        <f t="shared" si="163"/>
        <v>4059.0022358920164</v>
      </c>
      <c r="CJ115" s="5">
        <f t="shared" si="164"/>
        <v>1.1551992920938738</v>
      </c>
      <c r="CK115" s="5">
        <f t="shared" si="165"/>
        <v>1.1434611951829177</v>
      </c>
      <c r="CL115" s="5"/>
      <c r="CM115" s="5"/>
      <c r="CN115" s="5"/>
      <c r="CO115" s="51"/>
      <c r="CQ115" s="51"/>
      <c r="CR115" s="6"/>
      <c r="CT115" s="4"/>
      <c r="CU115" s="7"/>
      <c r="CX115" s="7"/>
      <c r="DA115" s="5"/>
      <c r="DB115" s="126"/>
      <c r="DC115" s="127"/>
      <c r="DD115" s="129"/>
      <c r="DE115" s="17"/>
      <c r="DF115" s="128"/>
      <c r="DG115" s="128"/>
      <c r="DH115" s="87"/>
      <c r="DI115" s="17"/>
      <c r="DJ115" s="128"/>
      <c r="DK115" s="87"/>
      <c r="DL115" s="17"/>
      <c r="DM115" s="87"/>
      <c r="DN115" s="87"/>
      <c r="DO115" s="87"/>
      <c r="DP115" s="87"/>
      <c r="DQ115" s="17"/>
      <c r="DR115" s="17"/>
      <c r="DU115" s="5"/>
      <c r="DV115" s="7"/>
      <c r="DX115" s="7"/>
      <c r="DY115" s="7"/>
      <c r="DZ115" s="5"/>
    </row>
    <row r="116" spans="2:130">
      <c r="D116" s="4"/>
      <c r="E116" s="39"/>
      <c r="F116" s="48"/>
      <c r="G116" s="4"/>
      <c r="H116" s="7"/>
      <c r="I116" s="48"/>
      <c r="M116" s="76">
        <v>40378.6</v>
      </c>
      <c r="N116" s="104">
        <v>40717</v>
      </c>
      <c r="O116" s="81">
        <v>40717</v>
      </c>
      <c r="P116" s="23">
        <v>4037.86</v>
      </c>
      <c r="Q116" s="24">
        <f t="shared" si="144"/>
        <v>2</v>
      </c>
      <c r="R116" s="21">
        <f t="shared" si="145"/>
        <v>80</v>
      </c>
      <c r="S116" s="39">
        <f t="shared" si="126"/>
        <v>4.0378600000000002</v>
      </c>
      <c r="T116" s="5">
        <f t="shared" si="127"/>
        <v>72.681479999999993</v>
      </c>
      <c r="U116" s="7">
        <f t="shared" si="128"/>
        <v>3720.9302325581393</v>
      </c>
      <c r="V116">
        <f t="shared" si="166"/>
        <v>3.2</v>
      </c>
      <c r="W116" s="77">
        <f>+W115</f>
        <v>55</v>
      </c>
      <c r="X116" s="6">
        <f t="shared" si="146"/>
        <v>204.65116279069764</v>
      </c>
      <c r="Y116" s="6">
        <f t="shared" si="147"/>
        <v>15.024595348837208</v>
      </c>
      <c r="Z116" s="5">
        <f t="shared" si="167"/>
        <v>189.62656744186043</v>
      </c>
      <c r="AA116" s="5">
        <f t="shared" si="129"/>
        <v>59.258302325581383</v>
      </c>
      <c r="AB116" s="5">
        <f t="shared" si="148"/>
        <v>59.25830232558139</v>
      </c>
      <c r="AC116" s="80">
        <f t="shared" si="149"/>
        <v>204.65116279069764</v>
      </c>
      <c r="AD116" s="5">
        <f t="shared" si="150"/>
        <v>31.087408709677412</v>
      </c>
      <c r="AE116" s="5">
        <f t="shared" si="151"/>
        <v>12.921152000000001</v>
      </c>
      <c r="AF116" s="5">
        <f t="shared" si="152"/>
        <v>15.024595348837209</v>
      </c>
      <c r="AG116" s="7">
        <f t="shared" si="130"/>
        <v>31087.408709677413</v>
      </c>
      <c r="AH116" s="5">
        <f t="shared" si="153"/>
        <v>189.62656744186043</v>
      </c>
      <c r="AI116" s="7">
        <f t="shared" si="154"/>
        <v>59258.302325581375</v>
      </c>
      <c r="AJ116" s="6">
        <f t="shared" si="155"/>
        <v>379.25313488372086</v>
      </c>
      <c r="AK116" s="7">
        <f t="shared" si="168"/>
        <v>3849.4745061965232</v>
      </c>
      <c r="AL116" s="5"/>
      <c r="AM116" s="5"/>
      <c r="AO116" s="18"/>
      <c r="AP116" s="4">
        <f t="shared" si="117"/>
        <v>40707</v>
      </c>
      <c r="AQ116" s="36">
        <v>0.47916666666666669</v>
      </c>
      <c r="AR116">
        <v>3400</v>
      </c>
      <c r="AT116" s="4">
        <v>40708</v>
      </c>
      <c r="AU116" s="36">
        <v>0.40347222222222223</v>
      </c>
      <c r="AV116">
        <v>1000</v>
      </c>
      <c r="AX116" s="45">
        <f t="shared" si="131"/>
        <v>2596.5439519158526</v>
      </c>
      <c r="AY116" s="45">
        <f t="shared" si="132"/>
        <v>0</v>
      </c>
      <c r="AZ116" s="7">
        <f t="shared" si="133"/>
        <v>2596.5439519158526</v>
      </c>
      <c r="BA116" s="18">
        <f t="shared" si="134"/>
        <v>1</v>
      </c>
      <c r="BB116" s="6">
        <f t="shared" si="135"/>
        <v>22.183333333333337</v>
      </c>
      <c r="BI116" s="91"/>
      <c r="BJ116" s="99">
        <v>0</v>
      </c>
      <c r="BK116" s="94">
        <v>40708</v>
      </c>
      <c r="BL116" s="12">
        <v>40708</v>
      </c>
      <c r="BM116" s="72">
        <f t="shared" si="136"/>
        <v>0</v>
      </c>
      <c r="BN116" s="18">
        <f t="shared" si="156"/>
        <v>1</v>
      </c>
      <c r="BO116">
        <f t="shared" si="157"/>
        <v>71</v>
      </c>
      <c r="BP116" s="5">
        <f t="shared" si="125"/>
        <v>0</v>
      </c>
      <c r="BQ116" s="7">
        <f t="shared" si="137"/>
        <v>2604.4340723453902</v>
      </c>
      <c r="BR116" s="7"/>
      <c r="BS116" s="7">
        <f t="shared" si="120"/>
        <v>2604.4340723453902</v>
      </c>
      <c r="BT116">
        <f t="shared" si="119"/>
        <v>3.2</v>
      </c>
      <c r="BU116">
        <f t="shared" si="124"/>
        <v>60</v>
      </c>
      <c r="BV116" s="6">
        <f t="shared" si="138"/>
        <v>156.2660443407234</v>
      </c>
      <c r="BW116" s="6">
        <f t="shared" si="139"/>
        <v>0</v>
      </c>
      <c r="BX116" s="5">
        <f t="shared" si="140"/>
        <v>156.2660443407234</v>
      </c>
      <c r="BY116" s="5">
        <f t="shared" si="141"/>
        <v>48.833138856476062</v>
      </c>
      <c r="BZ116" s="5">
        <f t="shared" si="142"/>
        <v>48.833138856476062</v>
      </c>
      <c r="CA116" s="5">
        <f t="shared" si="143"/>
        <v>156.2660443407234</v>
      </c>
      <c r="CB116" s="7">
        <f t="shared" si="158"/>
        <v>2388.2744435202299</v>
      </c>
      <c r="CC116" s="5">
        <f t="shared" si="159"/>
        <v>1.1242671656811758</v>
      </c>
      <c r="CD116" s="7">
        <f t="shared" si="169"/>
        <v>82</v>
      </c>
      <c r="CE116" s="5">
        <f t="shared" si="160"/>
        <v>233.38300235294119</v>
      </c>
      <c r="CF116" s="5">
        <f t="shared" si="161"/>
        <v>4875.0997831973382</v>
      </c>
      <c r="CG116">
        <f t="shared" si="74"/>
        <v>82</v>
      </c>
      <c r="CH116" s="5">
        <f t="shared" si="162"/>
        <v>197.36917157647062</v>
      </c>
      <c r="CI116" s="5">
        <f t="shared" si="163"/>
        <v>4256.3714074684867</v>
      </c>
      <c r="CJ116" s="5">
        <f t="shared" si="164"/>
        <v>1.1824693820661705</v>
      </c>
      <c r="CK116" s="5">
        <f t="shared" si="165"/>
        <v>1.1453652222743516</v>
      </c>
      <c r="CL116" s="5"/>
      <c r="CM116" s="5"/>
      <c r="CN116" s="5"/>
      <c r="CO116" s="51"/>
      <c r="CQ116" s="51"/>
      <c r="CR116" s="6"/>
      <c r="CT116" s="4"/>
      <c r="CU116" s="7"/>
      <c r="CX116" s="7"/>
      <c r="DA116" s="5"/>
      <c r="DB116" s="126"/>
      <c r="DC116" s="127"/>
      <c r="DD116" s="129"/>
      <c r="DE116" s="17"/>
      <c r="DF116" s="128"/>
      <c r="DG116" s="128"/>
      <c r="DH116" s="87"/>
      <c r="DI116" s="17"/>
      <c r="DJ116" s="128"/>
      <c r="DK116" s="87"/>
      <c r="DL116" s="17"/>
      <c r="DM116" s="87"/>
      <c r="DN116" s="87"/>
      <c r="DO116" s="87"/>
      <c r="DP116" s="87"/>
      <c r="DQ116" s="17"/>
      <c r="DR116" s="17"/>
      <c r="DU116" s="5"/>
      <c r="DV116" s="7"/>
      <c r="DX116" s="7"/>
      <c r="DY116" s="7"/>
      <c r="DZ116" s="5"/>
    </row>
    <row r="117" spans="2:130">
      <c r="D117" s="4"/>
      <c r="E117" s="39"/>
      <c r="F117" s="48"/>
      <c r="G117" s="4"/>
      <c r="H117" s="7"/>
      <c r="I117" s="48"/>
      <c r="J117" s="4"/>
      <c r="K117" s="76"/>
      <c r="L117" s="107"/>
      <c r="M117" s="76">
        <v>40609.1</v>
      </c>
      <c r="N117" s="104">
        <v>40718</v>
      </c>
      <c r="O117" s="82">
        <v>40718</v>
      </c>
      <c r="P117" s="23">
        <v>4060.91</v>
      </c>
      <c r="Q117" s="24">
        <f t="shared" si="144"/>
        <v>1</v>
      </c>
      <c r="R117" s="21">
        <f t="shared" si="145"/>
        <v>81</v>
      </c>
      <c r="S117" s="39">
        <f t="shared" si="126"/>
        <v>4.0609099999999998</v>
      </c>
      <c r="T117" s="5">
        <f t="shared" si="127"/>
        <v>73.096380000000011</v>
      </c>
      <c r="U117" s="7">
        <f t="shared" si="128"/>
        <v>4034.1047503045065</v>
      </c>
      <c r="V117">
        <f t="shared" si="166"/>
        <v>3.2</v>
      </c>
      <c r="W117" s="77">
        <v>56</v>
      </c>
      <c r="X117" s="6">
        <f t="shared" si="146"/>
        <v>225.90986601705237</v>
      </c>
      <c r="Y117" s="6">
        <f t="shared" si="147"/>
        <v>16.382136321559074</v>
      </c>
      <c r="Z117" s="5">
        <f t="shared" si="167"/>
        <v>209.52772969549329</v>
      </c>
      <c r="AA117" s="5">
        <f t="shared" si="129"/>
        <v>65.47741552984165</v>
      </c>
      <c r="AB117" s="5">
        <f t="shared" si="148"/>
        <v>65.47741552984165</v>
      </c>
      <c r="AC117" s="80">
        <f t="shared" si="149"/>
        <v>225.90986601705237</v>
      </c>
      <c r="AD117" s="5">
        <f t="shared" si="150"/>
        <v>33.014592165948272</v>
      </c>
      <c r="AE117" s="5">
        <f t="shared" si="151"/>
        <v>12.994912000000001</v>
      </c>
      <c r="AF117" s="5">
        <f t="shared" si="152"/>
        <v>16.382136321559074</v>
      </c>
      <c r="AG117" s="7">
        <f t="shared" si="130"/>
        <v>33014.59216594827</v>
      </c>
      <c r="AH117" s="5">
        <f t="shared" si="153"/>
        <v>209.52772969549329</v>
      </c>
      <c r="AI117" s="7">
        <f t="shared" si="154"/>
        <v>65477.415529841652</v>
      </c>
      <c r="AJ117" s="6">
        <f t="shared" si="155"/>
        <v>209.52772969549329</v>
      </c>
      <c r="AK117" s="7">
        <f t="shared" si="168"/>
        <v>4059.0022358920164</v>
      </c>
      <c r="AL117" s="7"/>
      <c r="AM117" s="7"/>
      <c r="AO117" s="18"/>
      <c r="AP117" s="4">
        <f t="shared" si="117"/>
        <v>40708</v>
      </c>
      <c r="AQ117" s="36">
        <v>0.77777777777777779</v>
      </c>
      <c r="AR117">
        <v>4000</v>
      </c>
      <c r="AT117" s="4">
        <v>40709</v>
      </c>
      <c r="AU117" s="36">
        <v>0.37291666666666662</v>
      </c>
      <c r="AV117">
        <v>2450</v>
      </c>
      <c r="AX117" s="45">
        <f t="shared" si="131"/>
        <v>2604.4340723453902</v>
      </c>
      <c r="AY117" s="45">
        <f t="shared" si="132"/>
        <v>0</v>
      </c>
      <c r="AZ117" s="7">
        <f t="shared" si="133"/>
        <v>2604.4340723453902</v>
      </c>
      <c r="BA117" s="18">
        <f t="shared" si="134"/>
        <v>1</v>
      </c>
      <c r="BB117" s="6">
        <f t="shared" si="135"/>
        <v>14.283333333333337</v>
      </c>
      <c r="BI117" s="91"/>
      <c r="BJ117" s="99">
        <v>1.5640000000000001</v>
      </c>
      <c r="BK117" s="94">
        <v>40709</v>
      </c>
      <c r="BL117" s="12">
        <v>40709</v>
      </c>
      <c r="BM117" s="72">
        <f t="shared" si="136"/>
        <v>34</v>
      </c>
      <c r="BN117" s="18">
        <f t="shared" si="156"/>
        <v>1</v>
      </c>
      <c r="BO117">
        <f t="shared" si="157"/>
        <v>72</v>
      </c>
      <c r="BP117" s="5">
        <f t="shared" si="125"/>
        <v>1.5640000000000001</v>
      </c>
      <c r="BQ117" s="7">
        <f t="shared" si="137"/>
        <v>3019.8675496688747</v>
      </c>
      <c r="BR117" s="7"/>
      <c r="BS117" s="7">
        <f t="shared" si="120"/>
        <v>3019.8675496688747</v>
      </c>
      <c r="BT117">
        <f t="shared" si="119"/>
        <v>3.2</v>
      </c>
      <c r="BU117">
        <f t="shared" si="124"/>
        <v>60</v>
      </c>
      <c r="BV117" s="6">
        <f t="shared" si="138"/>
        <v>181.1920529801325</v>
      </c>
      <c r="BW117" s="6">
        <f t="shared" si="139"/>
        <v>0.10267549668874174</v>
      </c>
      <c r="BX117" s="5">
        <f t="shared" si="140"/>
        <v>181.08937748344377</v>
      </c>
      <c r="BY117" s="5">
        <f t="shared" si="141"/>
        <v>56.590430463576176</v>
      </c>
      <c r="BZ117" s="5">
        <f t="shared" si="142"/>
        <v>56.590430463576169</v>
      </c>
      <c r="CA117" s="5">
        <f t="shared" si="143"/>
        <v>181.1920529801325</v>
      </c>
      <c r="CB117" s="7">
        <f t="shared" si="158"/>
        <v>2569.4664965003622</v>
      </c>
      <c r="CC117" s="5">
        <f t="shared" si="159"/>
        <v>1.1230919938598589</v>
      </c>
      <c r="CD117" s="7">
        <f t="shared" si="169"/>
        <v>83</v>
      </c>
      <c r="CE117" s="5">
        <f t="shared" si="160"/>
        <v>231.80487804878058</v>
      </c>
      <c r="CF117" s="5">
        <f t="shared" si="161"/>
        <v>5106.9046612461188</v>
      </c>
      <c r="CG117">
        <f t="shared" si="74"/>
        <v>83</v>
      </c>
      <c r="CH117" s="5">
        <f t="shared" si="162"/>
        <v>200.3161170731708</v>
      </c>
      <c r="CI117" s="5">
        <f t="shared" si="163"/>
        <v>4456.6875245416577</v>
      </c>
      <c r="CJ117" s="5">
        <f t="shared" si="164"/>
        <v>1.1571953442173986</v>
      </c>
      <c r="CK117" s="5">
        <f t="shared" si="165"/>
        <v>1.1458969544362059</v>
      </c>
      <c r="CL117" s="5"/>
      <c r="CM117" s="5"/>
      <c r="CN117" s="5"/>
      <c r="CO117" s="51"/>
      <c r="CQ117" s="51"/>
      <c r="CR117" s="6"/>
      <c r="CT117" s="4"/>
      <c r="CU117" s="7"/>
      <c r="CX117" s="7"/>
      <c r="DA117" s="5"/>
      <c r="DB117" s="126"/>
      <c r="DC117" s="127"/>
      <c r="DD117" s="129"/>
      <c r="DE117" s="17"/>
      <c r="DF117" s="128"/>
      <c r="DG117" s="128"/>
      <c r="DH117" s="87"/>
      <c r="DI117" s="17"/>
      <c r="DJ117" s="128"/>
      <c r="DK117" s="87"/>
      <c r="DL117" s="17"/>
      <c r="DM117" s="87"/>
      <c r="DN117" s="87"/>
      <c r="DO117" s="87"/>
      <c r="DP117" s="87"/>
      <c r="DQ117" s="17"/>
      <c r="DR117" s="17"/>
      <c r="DU117" s="5"/>
      <c r="DV117" s="7"/>
      <c r="DX117" s="7"/>
      <c r="DY117" s="7"/>
      <c r="DZ117" s="5"/>
    </row>
    <row r="118" spans="2:130">
      <c r="D118" s="4"/>
      <c r="E118" s="39"/>
      <c r="F118" s="48"/>
      <c r="G118" s="4"/>
      <c r="H118" s="7"/>
      <c r="I118" s="48"/>
      <c r="J118" s="4"/>
      <c r="K118" s="76"/>
      <c r="L118" s="107"/>
      <c r="M118" s="76">
        <v>53466.8</v>
      </c>
      <c r="N118" s="104">
        <v>40719</v>
      </c>
      <c r="O118" s="82">
        <v>40719</v>
      </c>
      <c r="P118" s="23">
        <v>5346.68</v>
      </c>
      <c r="Q118" s="24">
        <f t="shared" si="144"/>
        <v>1</v>
      </c>
      <c r="R118" s="21">
        <f t="shared" si="145"/>
        <v>82</v>
      </c>
      <c r="S118" s="39">
        <f t="shared" si="126"/>
        <v>5.3466800000000001</v>
      </c>
      <c r="T118" s="5">
        <f t="shared" si="127"/>
        <v>96.24024</v>
      </c>
      <c r="U118" s="7">
        <f t="shared" si="128"/>
        <v>3896.4705882352946</v>
      </c>
      <c r="V118">
        <f t="shared" si="166"/>
        <v>3.2</v>
      </c>
      <c r="W118" s="77">
        <f>+W117</f>
        <v>56</v>
      </c>
      <c r="X118" s="6">
        <f t="shared" si="146"/>
        <v>218.20235294117651</v>
      </c>
      <c r="Y118" s="6">
        <f t="shared" si="147"/>
        <v>20.833181364705887</v>
      </c>
      <c r="Z118" s="5">
        <f t="shared" si="167"/>
        <v>197.36917157647062</v>
      </c>
      <c r="AA118" s="5">
        <f t="shared" si="129"/>
        <v>61.677866117647064</v>
      </c>
      <c r="AB118" s="5">
        <f t="shared" si="148"/>
        <v>61.677866117647056</v>
      </c>
      <c r="AC118" s="80">
        <f t="shared" si="149"/>
        <v>218.20235294117651</v>
      </c>
      <c r="AD118" s="5">
        <f t="shared" si="150"/>
        <v>32.579190185676396</v>
      </c>
      <c r="AE118" s="5">
        <f t="shared" si="151"/>
        <v>17.109376000000001</v>
      </c>
      <c r="AF118" s="5">
        <f t="shared" si="152"/>
        <v>20.833181364705883</v>
      </c>
      <c r="AG118" s="7">
        <f t="shared" si="130"/>
        <v>32579.190185676394</v>
      </c>
      <c r="AH118" s="5">
        <f t="shared" si="153"/>
        <v>197.36917157647062</v>
      </c>
      <c r="AI118" s="7">
        <f t="shared" si="154"/>
        <v>61677.86611764707</v>
      </c>
      <c r="AJ118" s="6">
        <f t="shared" si="155"/>
        <v>197.36917157647062</v>
      </c>
      <c r="AK118" s="7">
        <f t="shared" si="168"/>
        <v>4256.3714074684867</v>
      </c>
      <c r="AL118" s="7"/>
      <c r="AM118" s="7"/>
      <c r="AO118" s="18"/>
      <c r="AP118" s="4">
        <f t="shared" ref="AP118:AP149" si="170">+AT117</f>
        <v>40709</v>
      </c>
      <c r="AQ118" s="36">
        <v>0.78402777777777777</v>
      </c>
      <c r="AR118">
        <v>4000</v>
      </c>
      <c r="AT118" s="4">
        <v>40710</v>
      </c>
      <c r="AU118" s="36">
        <v>0.41319444444444442</v>
      </c>
      <c r="AV118">
        <v>2100</v>
      </c>
      <c r="AX118" s="45">
        <f t="shared" si="131"/>
        <v>3019.8675496688747</v>
      </c>
      <c r="AY118" s="45">
        <f t="shared" si="132"/>
        <v>0</v>
      </c>
      <c r="AZ118" s="7">
        <f t="shared" si="133"/>
        <v>3019.8675496688747</v>
      </c>
      <c r="BA118" s="18">
        <f t="shared" si="134"/>
        <v>1</v>
      </c>
      <c r="BB118" s="6">
        <f t="shared" si="135"/>
        <v>15.099999999999998</v>
      </c>
      <c r="BI118" s="91"/>
      <c r="BJ118" s="99">
        <v>0</v>
      </c>
      <c r="BK118" s="94">
        <v>40710</v>
      </c>
      <c r="BL118" s="12">
        <v>40710</v>
      </c>
      <c r="BM118" s="72">
        <f t="shared" si="136"/>
        <v>0</v>
      </c>
      <c r="BN118" s="18">
        <f t="shared" si="156"/>
        <v>1</v>
      </c>
      <c r="BO118">
        <f t="shared" si="157"/>
        <v>73</v>
      </c>
      <c r="BP118" s="5">
        <f t="shared" si="125"/>
        <v>0</v>
      </c>
      <c r="BQ118" s="7">
        <f t="shared" si="137"/>
        <v>3486.4864864864862</v>
      </c>
      <c r="BR118" s="7"/>
      <c r="BS118" s="7">
        <f t="shared" si="120"/>
        <v>3486.4864864864862</v>
      </c>
      <c r="BT118">
        <f t="shared" si="119"/>
        <v>3.2</v>
      </c>
      <c r="BU118">
        <f t="shared" si="124"/>
        <v>60</v>
      </c>
      <c r="BV118" s="6">
        <f t="shared" si="138"/>
        <v>209.18918918918916</v>
      </c>
      <c r="BW118" s="6">
        <f t="shared" si="139"/>
        <v>0</v>
      </c>
      <c r="BX118" s="5">
        <f t="shared" si="140"/>
        <v>209.18918918918916</v>
      </c>
      <c r="BY118" s="5">
        <f t="shared" si="141"/>
        <v>65.371621621621614</v>
      </c>
      <c r="BZ118" s="5">
        <f t="shared" si="142"/>
        <v>65.371621621621614</v>
      </c>
      <c r="CA118" s="5">
        <f t="shared" si="143"/>
        <v>209.18918918918916</v>
      </c>
      <c r="CB118" s="7">
        <f t="shared" si="158"/>
        <v>2778.6556856895513</v>
      </c>
      <c r="CC118" s="5">
        <f t="shared" si="159"/>
        <v>1.1228134232298126</v>
      </c>
      <c r="CD118" s="7">
        <f t="shared" si="169"/>
        <v>84</v>
      </c>
      <c r="CE118" s="5">
        <f t="shared" si="160"/>
        <v>232.61538461538461</v>
      </c>
      <c r="CF118" s="5">
        <f t="shared" si="161"/>
        <v>5339.5200458615036</v>
      </c>
      <c r="CG118">
        <f t="shared" si="74"/>
        <v>84</v>
      </c>
      <c r="CH118" s="5">
        <f t="shared" si="162"/>
        <v>201.36001846153846</v>
      </c>
      <c r="CI118" s="5">
        <f t="shared" si="163"/>
        <v>4658.0475430031966</v>
      </c>
      <c r="CJ118" s="5">
        <f t="shared" si="164"/>
        <v>1.155221311522755</v>
      </c>
      <c r="CK118" s="5">
        <f t="shared" si="165"/>
        <v>1.1463000316263281</v>
      </c>
      <c r="CL118" s="5"/>
      <c r="CM118" s="5"/>
      <c r="CN118" s="5"/>
      <c r="CO118" s="51"/>
      <c r="CQ118" s="51"/>
      <c r="CR118" s="6"/>
      <c r="CT118" s="4"/>
      <c r="CU118" s="7"/>
      <c r="CX118" s="7"/>
      <c r="DA118" s="5"/>
      <c r="DB118" s="126"/>
      <c r="DC118" s="127"/>
      <c r="DD118" s="129"/>
      <c r="DE118" s="17"/>
      <c r="DF118" s="128"/>
      <c r="DG118" s="128"/>
      <c r="DH118" s="87"/>
      <c r="DI118" s="17"/>
      <c r="DJ118" s="128"/>
      <c r="DK118" s="87"/>
      <c r="DL118" s="17"/>
      <c r="DM118" s="87"/>
      <c r="DN118" s="87"/>
      <c r="DO118" s="87"/>
      <c r="DP118" s="87"/>
      <c r="DQ118" s="17"/>
      <c r="DR118" s="17"/>
      <c r="DU118" s="5"/>
      <c r="DV118" s="7"/>
      <c r="DX118" s="7"/>
      <c r="DY118" s="7"/>
      <c r="DZ118" s="5"/>
    </row>
    <row r="119" spans="2:130">
      <c r="D119" s="4"/>
      <c r="E119" s="39"/>
      <c r="F119" s="48"/>
      <c r="G119" s="4"/>
      <c r="H119" s="7"/>
      <c r="I119" s="48"/>
      <c r="J119" s="4"/>
      <c r="K119" s="76"/>
      <c r="L119" s="107"/>
      <c r="M119" s="76">
        <v>4150.5</v>
      </c>
      <c r="N119" s="104">
        <v>40720</v>
      </c>
      <c r="O119" s="82">
        <v>40720</v>
      </c>
      <c r="P119" s="23">
        <v>4150.5</v>
      </c>
      <c r="Q119" s="24">
        <f t="shared" si="144"/>
        <v>1</v>
      </c>
      <c r="R119" s="21">
        <f t="shared" si="145"/>
        <v>83</v>
      </c>
      <c r="S119" s="39">
        <f t="shared" si="126"/>
        <v>4.1505000000000001</v>
      </c>
      <c r="T119" s="5">
        <f t="shared" si="127"/>
        <v>74.709000000000003</v>
      </c>
      <c r="U119" s="7">
        <f t="shared" si="128"/>
        <v>3863.4146341463429</v>
      </c>
      <c r="V119">
        <f t="shared" si="166"/>
        <v>3.2</v>
      </c>
      <c r="W119" s="77">
        <f>+W118</f>
        <v>56</v>
      </c>
      <c r="X119" s="6">
        <f t="shared" si="146"/>
        <v>216.3512195121952</v>
      </c>
      <c r="Y119" s="6">
        <f t="shared" si="147"/>
        <v>16.035102439024396</v>
      </c>
      <c r="Z119" s="5">
        <f t="shared" si="167"/>
        <v>200.3161170731708</v>
      </c>
      <c r="AA119" s="5">
        <f t="shared" si="129"/>
        <v>62.598786585365872</v>
      </c>
      <c r="AB119" s="5">
        <f t="shared" si="148"/>
        <v>62.598786585365872</v>
      </c>
      <c r="AC119" s="80">
        <f t="shared" si="149"/>
        <v>216.3512195121952</v>
      </c>
      <c r="AD119" s="5">
        <f t="shared" si="150"/>
        <v>33.052087071823209</v>
      </c>
      <c r="AE119" s="5">
        <f t="shared" si="151"/>
        <v>13.281600000000001</v>
      </c>
      <c r="AF119" s="5">
        <f t="shared" si="152"/>
        <v>16.035102439024396</v>
      </c>
      <c r="AG119" s="7">
        <f t="shared" si="130"/>
        <v>33052.087071823211</v>
      </c>
      <c r="AH119" s="5">
        <f t="shared" si="153"/>
        <v>200.3161170731708</v>
      </c>
      <c r="AI119" s="7">
        <f t="shared" si="154"/>
        <v>62598.786585365873</v>
      </c>
      <c r="AJ119" s="6">
        <f t="shared" si="155"/>
        <v>200.3161170731708</v>
      </c>
      <c r="AK119" s="7">
        <f t="shared" si="168"/>
        <v>4456.6875245416577</v>
      </c>
      <c r="AL119" s="7"/>
      <c r="AM119" s="7"/>
      <c r="AO119" s="18"/>
      <c r="AP119" s="4">
        <f t="shared" si="170"/>
        <v>40710</v>
      </c>
      <c r="AQ119" s="36">
        <v>0.79999999999999993</v>
      </c>
      <c r="AR119">
        <v>4000</v>
      </c>
      <c r="AT119" s="4">
        <v>40711</v>
      </c>
      <c r="AU119" s="36">
        <v>0.41666666666666669</v>
      </c>
      <c r="AV119">
        <v>1850</v>
      </c>
      <c r="AX119" s="45">
        <f t="shared" si="131"/>
        <v>3486.4864864864862</v>
      </c>
      <c r="AY119" s="45">
        <f t="shared" si="132"/>
        <v>0</v>
      </c>
      <c r="AZ119" s="7">
        <f t="shared" si="133"/>
        <v>3486.4864864864862</v>
      </c>
      <c r="BA119" s="18">
        <f t="shared" si="134"/>
        <v>1</v>
      </c>
      <c r="BB119" s="6">
        <f t="shared" si="135"/>
        <v>14.8</v>
      </c>
      <c r="BI119" s="91"/>
      <c r="BJ119" s="99">
        <v>0</v>
      </c>
      <c r="BK119" s="94">
        <v>40711</v>
      </c>
      <c r="BL119" s="12">
        <v>40711</v>
      </c>
      <c r="BM119" s="72">
        <f t="shared" si="136"/>
        <v>0</v>
      </c>
      <c r="BN119" s="18">
        <f t="shared" si="156"/>
        <v>1</v>
      </c>
      <c r="BO119">
        <f t="shared" si="157"/>
        <v>74</v>
      </c>
      <c r="BP119" s="5">
        <f t="shared" si="125"/>
        <v>0</v>
      </c>
      <c r="BQ119" s="7">
        <f t="shared" si="137"/>
        <v>3896.2795941375416</v>
      </c>
      <c r="BR119" s="7"/>
      <c r="BS119" s="7">
        <f t="shared" si="120"/>
        <v>3896.2795941375416</v>
      </c>
      <c r="BT119">
        <f t="shared" si="119"/>
        <v>3.2</v>
      </c>
      <c r="BU119">
        <f t="shared" si="124"/>
        <v>60</v>
      </c>
      <c r="BV119" s="6">
        <f t="shared" si="138"/>
        <v>233.77677564825248</v>
      </c>
      <c r="BW119" s="6">
        <f t="shared" si="139"/>
        <v>0</v>
      </c>
      <c r="BX119" s="5">
        <f t="shared" si="140"/>
        <v>233.77677564825248</v>
      </c>
      <c r="BY119" s="5">
        <f t="shared" si="141"/>
        <v>73.055242390078902</v>
      </c>
      <c r="BZ119" s="5">
        <f t="shared" si="142"/>
        <v>73.055242390078902</v>
      </c>
      <c r="CA119" s="5">
        <f t="shared" si="143"/>
        <v>233.77677564825248</v>
      </c>
      <c r="CB119" s="7">
        <f t="shared" si="158"/>
        <v>3012.4324613378039</v>
      </c>
      <c r="CC119" s="5">
        <f t="shared" si="159"/>
        <v>1.1215708057162059</v>
      </c>
      <c r="CD119" s="7">
        <f t="shared" si="169"/>
        <v>85</v>
      </c>
      <c r="CE119" s="5">
        <f t="shared" si="160"/>
        <v>234</v>
      </c>
      <c r="CF119" s="5">
        <f t="shared" si="161"/>
        <v>5573.5200458615036</v>
      </c>
      <c r="CG119">
        <f t="shared" si="74"/>
        <v>85</v>
      </c>
      <c r="CH119" s="5">
        <f t="shared" si="162"/>
        <v>192.17366999999999</v>
      </c>
      <c r="CI119" s="5">
        <f t="shared" si="163"/>
        <v>4850.2212130031967</v>
      </c>
      <c r="CJ119" s="5">
        <f t="shared" si="164"/>
        <v>1.2176485987908749</v>
      </c>
      <c r="CK119" s="5">
        <f t="shared" si="165"/>
        <v>1.149126978150848</v>
      </c>
      <c r="CL119" s="5"/>
      <c r="CM119" s="5"/>
      <c r="CN119" s="5"/>
      <c r="CO119" s="51"/>
      <c r="CQ119" s="51"/>
      <c r="CR119" s="6"/>
      <c r="CT119" s="4"/>
      <c r="CU119" s="7"/>
      <c r="CX119" s="7"/>
      <c r="DA119" s="5"/>
      <c r="DB119" s="126"/>
      <c r="DC119" s="127"/>
      <c r="DD119" s="129"/>
      <c r="DE119" s="17"/>
      <c r="DF119" s="128"/>
      <c r="DG119" s="128"/>
      <c r="DH119" s="87"/>
      <c r="DI119" s="17"/>
      <c r="DJ119" s="128"/>
      <c r="DK119" s="87"/>
      <c r="DL119" s="17"/>
      <c r="DM119" s="87"/>
      <c r="DN119" s="87"/>
      <c r="DO119" s="87"/>
      <c r="DP119" s="87"/>
      <c r="DQ119" s="17"/>
      <c r="DR119" s="17"/>
      <c r="DU119" s="5"/>
      <c r="DV119" s="7"/>
      <c r="DX119" s="7"/>
      <c r="DY119" s="7"/>
      <c r="DZ119" s="5"/>
    </row>
    <row r="120" spans="2:130">
      <c r="D120" s="4"/>
      <c r="E120" s="39"/>
      <c r="F120" s="48"/>
      <c r="G120" s="4"/>
      <c r="H120" s="7"/>
      <c r="I120" s="48"/>
      <c r="J120" s="4"/>
      <c r="K120" s="76"/>
      <c r="L120" s="107"/>
      <c r="M120" s="76">
        <v>4061.9</v>
      </c>
      <c r="N120" s="104">
        <v>40721</v>
      </c>
      <c r="O120" s="82">
        <v>40721</v>
      </c>
      <c r="P120" s="23">
        <v>4061.9000000000005</v>
      </c>
      <c r="Q120" s="24">
        <f t="shared" si="144"/>
        <v>1</v>
      </c>
      <c r="R120" s="21">
        <f t="shared" si="145"/>
        <v>84</v>
      </c>
      <c r="S120" s="39">
        <f t="shared" si="126"/>
        <v>4.0619000000000005</v>
      </c>
      <c r="T120" s="5">
        <f t="shared" si="127"/>
        <v>73.114200000000011</v>
      </c>
      <c r="U120" s="7">
        <f t="shared" si="128"/>
        <v>3876.9230769230771</v>
      </c>
      <c r="V120">
        <f t="shared" si="166"/>
        <v>3.2</v>
      </c>
      <c r="W120" s="77">
        <f>+W119</f>
        <v>56</v>
      </c>
      <c r="X120" s="6">
        <f t="shared" si="146"/>
        <v>217.1076923076923</v>
      </c>
      <c r="Y120" s="6">
        <f t="shared" si="147"/>
        <v>15.74767384615385</v>
      </c>
      <c r="Z120" s="5">
        <f t="shared" si="167"/>
        <v>201.36001846153846</v>
      </c>
      <c r="AA120" s="5">
        <f t="shared" si="129"/>
        <v>62.925005769230765</v>
      </c>
      <c r="AB120" s="5">
        <f t="shared" si="148"/>
        <v>62.925005769230772</v>
      </c>
      <c r="AC120" s="80">
        <f t="shared" si="149"/>
        <v>217.1076923076923</v>
      </c>
      <c r="AD120" s="5">
        <f t="shared" si="150"/>
        <v>32.555008695652177</v>
      </c>
      <c r="AE120" s="5">
        <f t="shared" si="151"/>
        <v>12.998080000000002</v>
      </c>
      <c r="AF120" s="5">
        <f t="shared" si="152"/>
        <v>15.747673846153848</v>
      </c>
      <c r="AG120" s="7">
        <f t="shared" si="130"/>
        <v>32555.008695652177</v>
      </c>
      <c r="AH120" s="5">
        <f t="shared" si="153"/>
        <v>201.36001846153846</v>
      </c>
      <c r="AI120" s="7">
        <f t="shared" si="154"/>
        <v>62925.00576923076</v>
      </c>
      <c r="AJ120" s="6">
        <f t="shared" si="155"/>
        <v>201.36001846153846</v>
      </c>
      <c r="AK120" s="7">
        <f t="shared" si="168"/>
        <v>4658.0475430031966</v>
      </c>
      <c r="AL120" s="7"/>
      <c r="AM120" s="7"/>
      <c r="AO120" s="18"/>
      <c r="AP120" s="4">
        <f t="shared" si="170"/>
        <v>40711</v>
      </c>
      <c r="AQ120" s="36">
        <v>0.81458333333333333</v>
      </c>
      <c r="AR120">
        <v>4000</v>
      </c>
      <c r="AT120" s="4">
        <v>40712</v>
      </c>
      <c r="AU120" s="36">
        <v>0.43055555555555558</v>
      </c>
      <c r="AV120">
        <v>1600</v>
      </c>
      <c r="AX120" s="45">
        <f t="shared" si="131"/>
        <v>3896.2795941375416</v>
      </c>
      <c r="AY120" s="45">
        <f t="shared" si="132"/>
        <v>0</v>
      </c>
      <c r="AZ120" s="7">
        <f t="shared" si="133"/>
        <v>3896.2795941375416</v>
      </c>
      <c r="BA120" s="18">
        <f t="shared" si="134"/>
        <v>1</v>
      </c>
      <c r="BB120" s="6">
        <f t="shared" si="135"/>
        <v>14.783333333333335</v>
      </c>
      <c r="BI120" s="91"/>
      <c r="BJ120" s="99">
        <v>0</v>
      </c>
      <c r="BK120" s="94">
        <v>40712</v>
      </c>
      <c r="BL120" s="12">
        <v>40712</v>
      </c>
      <c r="BM120" s="72">
        <f t="shared" si="136"/>
        <v>0</v>
      </c>
      <c r="BN120" s="18">
        <f t="shared" si="156"/>
        <v>1</v>
      </c>
      <c r="BO120">
        <f t="shared" si="157"/>
        <v>75</v>
      </c>
      <c r="BP120" s="5">
        <f t="shared" si="125"/>
        <v>0</v>
      </c>
      <c r="BQ120" s="7">
        <f t="shared" si="137"/>
        <v>3851.1627906976737</v>
      </c>
      <c r="BR120" s="7"/>
      <c r="BS120" s="7">
        <f t="shared" si="120"/>
        <v>3851.1627906976737</v>
      </c>
      <c r="BT120">
        <f t="shared" si="119"/>
        <v>3.2</v>
      </c>
      <c r="BU120">
        <f t="shared" si="124"/>
        <v>60</v>
      </c>
      <c r="BV120" s="6">
        <f t="shared" si="138"/>
        <v>231.06976744186042</v>
      </c>
      <c r="BW120" s="6">
        <f t="shared" si="139"/>
        <v>0</v>
      </c>
      <c r="BX120" s="5">
        <f t="shared" si="140"/>
        <v>231.06976744186042</v>
      </c>
      <c r="BY120" s="5">
        <f t="shared" si="141"/>
        <v>72.209302325581376</v>
      </c>
      <c r="BZ120" s="5">
        <f t="shared" si="142"/>
        <v>72.209302325581376</v>
      </c>
      <c r="CA120" s="5">
        <f t="shared" si="143"/>
        <v>231.06976744186042</v>
      </c>
      <c r="CB120" s="7">
        <f t="shared" si="158"/>
        <v>3243.5022287796642</v>
      </c>
      <c r="CC120" s="5">
        <f t="shared" si="159"/>
        <v>1.1227209415095236</v>
      </c>
      <c r="CD120" s="7">
        <f t="shared" si="169"/>
        <v>86</v>
      </c>
      <c r="CE120" s="5">
        <f t="shared" si="160"/>
        <v>232.5258</v>
      </c>
      <c r="CF120" s="5">
        <f t="shared" si="161"/>
        <v>5807.5200458615036</v>
      </c>
      <c r="CG120">
        <f t="shared" si="74"/>
        <v>86</v>
      </c>
      <c r="CH120" s="5">
        <f t="shared" si="162"/>
        <v>190.51304999999999</v>
      </c>
      <c r="CI120" s="5">
        <f t="shared" si="163"/>
        <v>5040.7342630031962</v>
      </c>
      <c r="CJ120" s="5">
        <f t="shared" si="164"/>
        <v>1.2205242632984985</v>
      </c>
      <c r="CK120" s="5">
        <f t="shared" si="165"/>
        <v>1.1521178746688121</v>
      </c>
      <c r="CL120" s="5"/>
      <c r="CM120" s="5"/>
      <c r="CN120" s="5"/>
      <c r="CO120" s="51"/>
      <c r="CQ120" s="51"/>
      <c r="CR120" s="6"/>
      <c r="CT120" s="4"/>
      <c r="CU120" s="7"/>
      <c r="CX120" s="7"/>
      <c r="DA120" s="5"/>
      <c r="DB120" s="126"/>
      <c r="DC120" s="127"/>
      <c r="DD120" s="129"/>
      <c r="DE120" s="17"/>
      <c r="DF120" s="128"/>
      <c r="DG120" s="128"/>
      <c r="DH120" s="87"/>
      <c r="DI120" s="17"/>
      <c r="DJ120" s="128"/>
      <c r="DK120" s="87"/>
      <c r="DL120" s="17"/>
      <c r="DM120" s="87"/>
      <c r="DN120" s="87"/>
      <c r="DO120" s="87"/>
      <c r="DP120" s="87"/>
      <c r="DQ120" s="17"/>
      <c r="DR120" s="17"/>
      <c r="DU120" s="5"/>
      <c r="DV120" s="7"/>
      <c r="DX120" s="7"/>
      <c r="DY120" s="7"/>
      <c r="DZ120" s="5"/>
    </row>
    <row r="121" spans="2:130">
      <c r="D121" s="4"/>
      <c r="E121" s="39"/>
      <c r="F121" s="48"/>
      <c r="G121" s="4"/>
      <c r="H121" s="7"/>
      <c r="I121" s="48"/>
      <c r="J121" s="4"/>
      <c r="K121" s="76"/>
      <c r="L121" s="107"/>
      <c r="M121" s="76">
        <v>4724.7</v>
      </c>
      <c r="N121" s="104">
        <v>40722</v>
      </c>
      <c r="O121" s="82">
        <v>40722</v>
      </c>
      <c r="P121" s="23">
        <v>4724.7</v>
      </c>
      <c r="Q121" s="24">
        <f t="shared" si="144"/>
        <v>1</v>
      </c>
      <c r="R121" s="21">
        <f t="shared" si="145"/>
        <v>85</v>
      </c>
      <c r="S121" s="39">
        <f t="shared" si="126"/>
        <v>4.7246999999999995</v>
      </c>
      <c r="T121" s="5">
        <f t="shared" si="127"/>
        <v>85.044599999999988</v>
      </c>
      <c r="U121" s="7">
        <f t="shared" si="128"/>
        <v>3900</v>
      </c>
      <c r="V121">
        <f t="shared" si="166"/>
        <v>3.2</v>
      </c>
      <c r="W121" s="77">
        <v>54</v>
      </c>
      <c r="X121" s="6">
        <f t="shared" si="146"/>
        <v>210.6</v>
      </c>
      <c r="Y121" s="6">
        <f t="shared" si="147"/>
        <v>18.42633</v>
      </c>
      <c r="Z121" s="5">
        <f t="shared" si="167"/>
        <v>192.17366999999999</v>
      </c>
      <c r="AA121" s="5">
        <f t="shared" si="129"/>
        <v>60.054271874999991</v>
      </c>
      <c r="AB121" s="5">
        <f t="shared" si="148"/>
        <v>60.054271875000005</v>
      </c>
      <c r="AC121" s="80">
        <f t="shared" si="149"/>
        <v>210.6</v>
      </c>
      <c r="AD121" s="5">
        <f t="shared" si="150"/>
        <v>31.49268732394366</v>
      </c>
      <c r="AE121" s="5">
        <f t="shared" si="151"/>
        <v>15.11904</v>
      </c>
      <c r="AF121" s="5">
        <f t="shared" si="152"/>
        <v>18.426329999999997</v>
      </c>
      <c r="AG121" s="7">
        <f t="shared" si="130"/>
        <v>31492.687323943661</v>
      </c>
      <c r="AH121" s="5">
        <f t="shared" si="153"/>
        <v>192.17366999999999</v>
      </c>
      <c r="AI121" s="7">
        <f t="shared" si="154"/>
        <v>60054.271874999991</v>
      </c>
      <c r="AJ121" s="6">
        <f t="shared" si="155"/>
        <v>192.17366999999999</v>
      </c>
      <c r="AK121" s="7">
        <f t="shared" si="168"/>
        <v>4850.2212130031967</v>
      </c>
      <c r="AL121" s="7"/>
      <c r="AM121" s="7"/>
      <c r="AO121" s="18"/>
      <c r="AP121" s="4">
        <f t="shared" si="170"/>
        <v>40712</v>
      </c>
      <c r="AQ121" s="36">
        <v>0.51388888888888895</v>
      </c>
      <c r="AR121">
        <v>3950</v>
      </c>
      <c r="AT121" s="4">
        <v>40713</v>
      </c>
      <c r="AU121" s="36">
        <v>0.40972222222222227</v>
      </c>
      <c r="AV121">
        <v>500</v>
      </c>
      <c r="AX121" s="45">
        <f t="shared" si="131"/>
        <v>3851.1627906976737</v>
      </c>
      <c r="AY121" s="45">
        <f t="shared" si="132"/>
        <v>0</v>
      </c>
      <c r="AZ121" s="7">
        <f t="shared" si="133"/>
        <v>3851.1627906976737</v>
      </c>
      <c r="BA121" s="18">
        <f t="shared" si="134"/>
        <v>1</v>
      </c>
      <c r="BB121" s="6">
        <f t="shared" si="135"/>
        <v>21.500000000000004</v>
      </c>
      <c r="BI121" s="91"/>
      <c r="BJ121" s="99">
        <v>0</v>
      </c>
      <c r="BK121" s="94">
        <v>40713</v>
      </c>
      <c r="BL121" s="12">
        <v>40713</v>
      </c>
      <c r="BM121" s="72">
        <f t="shared" si="136"/>
        <v>0</v>
      </c>
      <c r="BN121" s="18">
        <f t="shared" si="156"/>
        <v>1</v>
      </c>
      <c r="BO121">
        <f t="shared" si="157"/>
        <v>76</v>
      </c>
      <c r="BP121" s="5">
        <f t="shared" si="125"/>
        <v>0</v>
      </c>
      <c r="BQ121" s="7">
        <f t="shared" si="137"/>
        <v>4018.2232346241453</v>
      </c>
      <c r="BR121" s="7"/>
      <c r="BS121" s="7">
        <f t="shared" si="120"/>
        <v>4018.2232346241453</v>
      </c>
      <c r="BT121">
        <f t="shared" si="119"/>
        <v>3.2</v>
      </c>
      <c r="BU121">
        <f t="shared" si="124"/>
        <v>60</v>
      </c>
      <c r="BV121" s="6">
        <f t="shared" si="138"/>
        <v>241.09339407744872</v>
      </c>
      <c r="BW121" s="6">
        <f t="shared" si="139"/>
        <v>0</v>
      </c>
      <c r="BX121" s="5">
        <f t="shared" si="140"/>
        <v>241.09339407744872</v>
      </c>
      <c r="BY121" s="5">
        <f t="shared" si="141"/>
        <v>75.341685649202716</v>
      </c>
      <c r="BZ121" s="5">
        <f t="shared" si="142"/>
        <v>75.341685649202716</v>
      </c>
      <c r="CA121" s="5">
        <f t="shared" si="143"/>
        <v>241.09339407744872</v>
      </c>
      <c r="CB121" s="7">
        <f t="shared" si="158"/>
        <v>3484.5956228571131</v>
      </c>
      <c r="CC121" s="5">
        <f t="shared" si="159"/>
        <v>1.1326127405267337</v>
      </c>
      <c r="CD121" s="7">
        <f t="shared" si="169"/>
        <v>87</v>
      </c>
      <c r="CE121" s="5">
        <f t="shared" si="160"/>
        <v>229.01204819277103</v>
      </c>
      <c r="CF121" s="5">
        <f t="shared" si="161"/>
        <v>6036.5320940542742</v>
      </c>
      <c r="CG121">
        <f t="shared" si="74"/>
        <v>87</v>
      </c>
      <c r="CH121" s="5">
        <f t="shared" si="162"/>
        <v>188.81318168674696</v>
      </c>
      <c r="CI121" s="5">
        <f t="shared" si="163"/>
        <v>5229.5474446899434</v>
      </c>
      <c r="CJ121" s="5">
        <f t="shared" si="164"/>
        <v>1.2129028606313967</v>
      </c>
      <c r="CK121" s="5">
        <f t="shared" si="165"/>
        <v>1.1543125209015437</v>
      </c>
      <c r="CL121" s="5"/>
      <c r="CM121" s="5"/>
      <c r="CN121" s="5"/>
      <c r="CO121" s="51"/>
      <c r="CQ121" s="51"/>
      <c r="CR121" s="6"/>
      <c r="CT121" s="4"/>
      <c r="CU121" s="7"/>
      <c r="CX121" s="7"/>
      <c r="DA121" s="5"/>
      <c r="DB121" s="126"/>
      <c r="DC121" s="127"/>
      <c r="DD121" s="129"/>
      <c r="DE121" s="17"/>
      <c r="DF121" s="128"/>
      <c r="DG121" s="128"/>
      <c r="DH121" s="87"/>
      <c r="DI121" s="17"/>
      <c r="DJ121" s="128"/>
      <c r="DK121" s="87"/>
      <c r="DL121" s="17"/>
      <c r="DM121" s="87"/>
      <c r="DN121" s="87"/>
      <c r="DO121" s="87"/>
      <c r="DP121" s="87"/>
      <c r="DQ121" s="17"/>
      <c r="DR121" s="17"/>
      <c r="DU121" s="5"/>
      <c r="DV121" s="7"/>
      <c r="DX121" s="7"/>
      <c r="DY121" s="7"/>
      <c r="DZ121" s="5"/>
    </row>
    <row r="122" spans="2:130">
      <c r="D122" s="4"/>
      <c r="E122" s="39"/>
      <c r="F122" s="48"/>
      <c r="G122" s="4"/>
      <c r="H122" s="7"/>
      <c r="I122" s="48"/>
      <c r="J122" s="4"/>
      <c r="K122" s="76"/>
      <c r="L122" s="107"/>
      <c r="M122" s="76">
        <v>5150.5</v>
      </c>
      <c r="N122" s="104">
        <v>40723</v>
      </c>
      <c r="O122" s="82">
        <v>40723</v>
      </c>
      <c r="P122" s="23">
        <v>5150.5</v>
      </c>
      <c r="Q122" s="24">
        <f t="shared" si="144"/>
        <v>1</v>
      </c>
      <c r="R122" s="21">
        <f t="shared" si="145"/>
        <v>86</v>
      </c>
      <c r="S122" s="39">
        <f t="shared" si="126"/>
        <v>5.1505000000000001</v>
      </c>
      <c r="T122" s="5">
        <f t="shared" si="127"/>
        <v>92.709000000000003</v>
      </c>
      <c r="U122" s="7">
        <f t="shared" si="128"/>
        <v>3900</v>
      </c>
      <c r="V122">
        <f t="shared" si="166"/>
        <v>3.2</v>
      </c>
      <c r="W122" s="77">
        <f t="shared" ref="W122:W136" si="171">+W121</f>
        <v>54</v>
      </c>
      <c r="X122" s="6">
        <f t="shared" si="146"/>
        <v>210.6</v>
      </c>
      <c r="Y122" s="6">
        <f t="shared" si="147"/>
        <v>20.086950000000002</v>
      </c>
      <c r="Z122" s="5">
        <f t="shared" si="167"/>
        <v>190.51304999999999</v>
      </c>
      <c r="AA122" s="5">
        <f t="shared" si="129"/>
        <v>59.535328124999992</v>
      </c>
      <c r="AB122" s="5">
        <f t="shared" si="148"/>
        <v>59.535328124999992</v>
      </c>
      <c r="AC122" s="80">
        <f t="shared" si="149"/>
        <v>210.6</v>
      </c>
      <c r="AD122" s="5">
        <f t="shared" si="150"/>
        <v>31.791414084507046</v>
      </c>
      <c r="AE122" s="5">
        <f t="shared" si="151"/>
        <v>16.481600000000004</v>
      </c>
      <c r="AF122" s="5">
        <f t="shared" si="152"/>
        <v>20.086950000000002</v>
      </c>
      <c r="AG122" s="7">
        <f t="shared" si="130"/>
        <v>31791.414084507047</v>
      </c>
      <c r="AH122" s="5">
        <f t="shared" si="153"/>
        <v>190.51304999999999</v>
      </c>
      <c r="AI122" s="7">
        <f t="shared" si="154"/>
        <v>59535.328124999993</v>
      </c>
      <c r="AJ122" s="6">
        <f t="shared" si="155"/>
        <v>190.51304999999999</v>
      </c>
      <c r="AK122" s="7">
        <f t="shared" si="168"/>
        <v>5040.7342630031962</v>
      </c>
      <c r="AL122" s="7"/>
      <c r="AM122" s="7"/>
      <c r="AO122" s="18"/>
      <c r="AP122" s="4">
        <f t="shared" si="170"/>
        <v>40713</v>
      </c>
      <c r="AQ122" s="36">
        <v>0.78055555555555556</v>
      </c>
      <c r="AR122">
        <v>4000</v>
      </c>
      <c r="AT122" s="4">
        <v>40714</v>
      </c>
      <c r="AU122" s="36">
        <v>0.39027777777777778</v>
      </c>
      <c r="AV122">
        <v>1550</v>
      </c>
      <c r="AX122" s="45">
        <f t="shared" si="131"/>
        <v>4018.2232346241453</v>
      </c>
      <c r="AY122" s="45">
        <f t="shared" si="132"/>
        <v>0</v>
      </c>
      <c r="AZ122" s="7">
        <f t="shared" si="133"/>
        <v>4018.2232346241453</v>
      </c>
      <c r="BA122" s="18">
        <f t="shared" si="134"/>
        <v>1</v>
      </c>
      <c r="BB122" s="6">
        <f t="shared" si="135"/>
        <v>14.633333333333335</v>
      </c>
      <c r="BI122" s="91"/>
      <c r="BJ122" s="99">
        <v>0</v>
      </c>
      <c r="BK122" s="94">
        <v>40714</v>
      </c>
      <c r="BL122" s="12">
        <v>40714</v>
      </c>
      <c r="BM122" s="72">
        <f t="shared" si="136"/>
        <v>0</v>
      </c>
      <c r="BN122" s="18">
        <f t="shared" si="156"/>
        <v>1</v>
      </c>
      <c r="BO122">
        <f t="shared" si="157"/>
        <v>77</v>
      </c>
      <c r="BP122" s="5">
        <f t="shared" si="125"/>
        <v>0</v>
      </c>
      <c r="BQ122" s="7">
        <f t="shared" si="137"/>
        <v>3696.4285714285716</v>
      </c>
      <c r="BR122" s="7"/>
      <c r="BS122" s="7">
        <f t="shared" si="120"/>
        <v>3696.4285714285716</v>
      </c>
      <c r="BT122">
        <f t="shared" si="119"/>
        <v>3.2</v>
      </c>
      <c r="BU122">
        <f t="shared" si="124"/>
        <v>60</v>
      </c>
      <c r="BV122" s="6">
        <f t="shared" si="138"/>
        <v>221.78571428571428</v>
      </c>
      <c r="BW122" s="6">
        <f t="shared" si="139"/>
        <v>0</v>
      </c>
      <c r="BX122" s="5">
        <f t="shared" si="140"/>
        <v>221.78571428571428</v>
      </c>
      <c r="BY122" s="5">
        <f t="shared" si="141"/>
        <v>69.308035714285708</v>
      </c>
      <c r="BZ122" s="5">
        <f t="shared" si="142"/>
        <v>69.308035714285708</v>
      </c>
      <c r="CA122" s="5">
        <f t="shared" si="143"/>
        <v>221.78571428571428</v>
      </c>
      <c r="CB122" s="7">
        <f t="shared" si="158"/>
        <v>3706.3813371428273</v>
      </c>
      <c r="CC122" s="5">
        <f t="shared" si="159"/>
        <v>1.1353082914232182</v>
      </c>
      <c r="CD122" s="7">
        <f t="shared" si="169"/>
        <v>88</v>
      </c>
      <c r="CE122" s="5">
        <f t="shared" si="160"/>
        <v>230.94630000000001</v>
      </c>
      <c r="CF122" s="5">
        <f t="shared" si="161"/>
        <v>6270.5320940542742</v>
      </c>
      <c r="CG122">
        <f t="shared" si="74"/>
        <v>88</v>
      </c>
      <c r="CH122" s="5">
        <f t="shared" si="162"/>
        <v>192.40727999999999</v>
      </c>
      <c r="CI122" s="5">
        <f t="shared" si="163"/>
        <v>5421.9547246899438</v>
      </c>
      <c r="CJ122" s="5">
        <f t="shared" si="164"/>
        <v>1.2002991778689456</v>
      </c>
      <c r="CK122" s="5">
        <f t="shared" si="165"/>
        <v>1.1565076457573806</v>
      </c>
      <c r="CL122" s="5"/>
      <c r="CM122" s="5"/>
      <c r="CN122" s="5"/>
      <c r="CO122" s="51"/>
      <c r="CQ122" s="51"/>
      <c r="CR122" s="6"/>
      <c r="CT122" s="4"/>
      <c r="CU122" s="7"/>
      <c r="CX122" s="7"/>
      <c r="DA122" s="5"/>
      <c r="DB122" s="126"/>
      <c r="DC122" s="127"/>
      <c r="DD122" s="129"/>
      <c r="DE122" s="17"/>
      <c r="DF122" s="128"/>
      <c r="DG122" s="128"/>
      <c r="DH122" s="87"/>
      <c r="DI122" s="17"/>
      <c r="DJ122" s="128"/>
      <c r="DK122" s="87"/>
      <c r="DL122" s="17"/>
      <c r="DM122" s="87"/>
      <c r="DN122" s="87"/>
      <c r="DO122" s="87"/>
      <c r="DP122" s="87"/>
      <c r="DQ122" s="17"/>
      <c r="DR122" s="17"/>
      <c r="DU122" s="5"/>
      <c r="DV122" s="7"/>
      <c r="DX122" s="7"/>
      <c r="DY122" s="7"/>
      <c r="DZ122" s="5"/>
    </row>
    <row r="123" spans="2:130">
      <c r="D123" s="4"/>
      <c r="E123" s="39"/>
      <c r="F123" s="48"/>
      <c r="G123" s="4"/>
      <c r="H123" s="7"/>
      <c r="I123" s="48"/>
      <c r="J123" s="4"/>
      <c r="K123" s="76"/>
      <c r="L123" s="107"/>
      <c r="M123" s="76">
        <v>4531.9000000000005</v>
      </c>
      <c r="N123" s="104">
        <v>40724</v>
      </c>
      <c r="O123" s="82">
        <v>40724</v>
      </c>
      <c r="P123" s="23">
        <v>4531.9000000000005</v>
      </c>
      <c r="Q123" s="24">
        <f t="shared" si="144"/>
        <v>1</v>
      </c>
      <c r="R123" s="21">
        <f t="shared" si="145"/>
        <v>87</v>
      </c>
      <c r="S123" s="39">
        <f t="shared" si="126"/>
        <v>4.5319000000000003</v>
      </c>
      <c r="T123" s="5">
        <f t="shared" si="127"/>
        <v>81.574200000000005</v>
      </c>
      <c r="U123" s="7">
        <f t="shared" si="128"/>
        <v>3816.8674698795171</v>
      </c>
      <c r="V123">
        <f t="shared" si="166"/>
        <v>3.2</v>
      </c>
      <c r="W123" s="77">
        <f t="shared" si="171"/>
        <v>54</v>
      </c>
      <c r="X123" s="6">
        <f t="shared" si="146"/>
        <v>206.11084337349394</v>
      </c>
      <c r="Y123" s="6">
        <f t="shared" si="147"/>
        <v>17.297661686746984</v>
      </c>
      <c r="Z123" s="5">
        <f t="shared" si="167"/>
        <v>188.81318168674696</v>
      </c>
      <c r="AA123" s="5">
        <f t="shared" si="129"/>
        <v>59.004119277108423</v>
      </c>
      <c r="AB123" s="5">
        <f t="shared" si="148"/>
        <v>59.004119277108423</v>
      </c>
      <c r="AC123" s="80">
        <f t="shared" si="149"/>
        <v>206.11084337349394</v>
      </c>
      <c r="AD123" s="5">
        <f t="shared" si="150"/>
        <v>31.722480769230767</v>
      </c>
      <c r="AE123" s="5">
        <f t="shared" si="151"/>
        <v>14.502080000000001</v>
      </c>
      <c r="AF123" s="5">
        <f t="shared" si="152"/>
        <v>17.297661686746984</v>
      </c>
      <c r="AG123" s="7">
        <f t="shared" si="130"/>
        <v>31722.480769230766</v>
      </c>
      <c r="AH123" s="5">
        <f t="shared" si="153"/>
        <v>188.81318168674696</v>
      </c>
      <c r="AI123" s="7">
        <f t="shared" si="154"/>
        <v>59004.119277108417</v>
      </c>
      <c r="AJ123" s="6">
        <f t="shared" si="155"/>
        <v>188.81318168674696</v>
      </c>
      <c r="AK123" s="7">
        <f t="shared" si="168"/>
        <v>5229.5474446899434</v>
      </c>
      <c r="AL123" s="7"/>
      <c r="AM123" s="7"/>
      <c r="AO123" s="18"/>
      <c r="AP123" s="4">
        <f t="shared" si="170"/>
        <v>40714</v>
      </c>
      <c r="AQ123" s="36">
        <v>0.81527777777777777</v>
      </c>
      <c r="AR123">
        <v>3900</v>
      </c>
      <c r="AT123" s="4">
        <v>40715</v>
      </c>
      <c r="AU123" s="36">
        <v>0.4375</v>
      </c>
      <c r="AV123">
        <v>1600</v>
      </c>
      <c r="AX123" s="45">
        <f t="shared" si="131"/>
        <v>3696.4285714285716</v>
      </c>
      <c r="AY123" s="45">
        <f t="shared" si="132"/>
        <v>0</v>
      </c>
      <c r="AZ123" s="7">
        <f t="shared" si="133"/>
        <v>3696.4285714285716</v>
      </c>
      <c r="BA123" s="18">
        <f t="shared" si="134"/>
        <v>1</v>
      </c>
      <c r="BB123" s="6">
        <f t="shared" si="135"/>
        <v>14.933333333333334</v>
      </c>
      <c r="BI123" s="91"/>
      <c r="BJ123" s="99">
        <v>0</v>
      </c>
      <c r="BK123" s="94">
        <v>40715</v>
      </c>
      <c r="BL123" s="12">
        <v>40715</v>
      </c>
      <c r="BM123" s="72">
        <f t="shared" si="136"/>
        <v>0</v>
      </c>
      <c r="BN123" s="18">
        <f t="shared" si="156"/>
        <v>1</v>
      </c>
      <c r="BO123">
        <f t="shared" si="157"/>
        <v>78</v>
      </c>
      <c r="BP123" s="5">
        <f t="shared" si="125"/>
        <v>0</v>
      </c>
      <c r="BQ123" s="7">
        <f t="shared" si="137"/>
        <v>3974.9058971141785</v>
      </c>
      <c r="BR123" s="7"/>
      <c r="BS123" s="7">
        <f t="shared" si="120"/>
        <v>3974.9058971141785</v>
      </c>
      <c r="BT123">
        <f t="shared" ref="BT123:BT151" si="172">+BT122</f>
        <v>3.2</v>
      </c>
      <c r="BU123">
        <f t="shared" si="124"/>
        <v>60</v>
      </c>
      <c r="BV123" s="6">
        <f t="shared" si="138"/>
        <v>238.4943538268507</v>
      </c>
      <c r="BW123" s="6">
        <f t="shared" si="139"/>
        <v>0</v>
      </c>
      <c r="BX123" s="5">
        <f t="shared" si="140"/>
        <v>238.4943538268507</v>
      </c>
      <c r="BY123" s="5">
        <f t="shared" si="141"/>
        <v>74.529485570890841</v>
      </c>
      <c r="BZ123" s="5">
        <f t="shared" si="142"/>
        <v>74.529485570890841</v>
      </c>
      <c r="CA123" s="5">
        <f t="shared" si="143"/>
        <v>238.4943538268507</v>
      </c>
      <c r="CB123" s="7">
        <f t="shared" si="158"/>
        <v>3944.8756909696781</v>
      </c>
      <c r="CC123" s="5">
        <f t="shared" si="159"/>
        <v>1.1367792624357309</v>
      </c>
      <c r="CD123" s="7">
        <f t="shared" si="169"/>
        <v>89</v>
      </c>
      <c r="CE123" s="5">
        <f t="shared" si="160"/>
        <v>245.26451612903227</v>
      </c>
      <c r="CF123" s="5">
        <f t="shared" si="161"/>
        <v>6515.7966101833063</v>
      </c>
      <c r="CG123">
        <f t="shared" si="74"/>
        <v>89</v>
      </c>
      <c r="CH123" s="5">
        <f t="shared" si="162"/>
        <v>201.37443096774194</v>
      </c>
      <c r="CI123" s="5">
        <f t="shared" si="163"/>
        <v>5623.329155657686</v>
      </c>
      <c r="CJ123" s="5">
        <f t="shared" si="164"/>
        <v>1.2179526216430181</v>
      </c>
      <c r="CK123" s="5">
        <f t="shared" si="165"/>
        <v>1.1587080232761584</v>
      </c>
      <c r="CL123" s="5"/>
      <c r="CM123" s="5"/>
      <c r="CN123" s="5"/>
      <c r="CO123" s="51"/>
      <c r="CQ123" s="51"/>
      <c r="CR123" s="6"/>
      <c r="CT123" s="4"/>
      <c r="CU123" s="7"/>
      <c r="CX123" s="7"/>
      <c r="DA123" s="5"/>
      <c r="DB123" s="126"/>
      <c r="DC123" s="127"/>
      <c r="DD123" s="129"/>
      <c r="DE123" s="17"/>
      <c r="DF123" s="128"/>
      <c r="DG123" s="128"/>
      <c r="DH123" s="87"/>
      <c r="DI123" s="17"/>
      <c r="DJ123" s="128"/>
      <c r="DK123" s="87"/>
      <c r="DL123" s="17"/>
      <c r="DM123" s="87"/>
      <c r="DN123" s="87"/>
      <c r="DO123" s="87"/>
      <c r="DP123" s="87"/>
      <c r="DQ123" s="17"/>
      <c r="DR123" s="17"/>
      <c r="DU123" s="5"/>
      <c r="DV123" s="7"/>
      <c r="DX123" s="7"/>
      <c r="DY123" s="7"/>
      <c r="DZ123" s="5"/>
    </row>
    <row r="124" spans="2:130">
      <c r="D124" s="4"/>
      <c r="E124" s="39"/>
      <c r="F124" s="48"/>
      <c r="G124" s="4"/>
      <c r="H124" s="7"/>
      <c r="I124" s="48"/>
      <c r="J124" s="4"/>
      <c r="K124" s="76"/>
      <c r="L124" s="107"/>
      <c r="M124" s="76">
        <v>4664.8</v>
      </c>
      <c r="N124" s="104">
        <v>40725</v>
      </c>
      <c r="O124" s="82">
        <v>40725</v>
      </c>
      <c r="P124" s="76">
        <v>4664.8</v>
      </c>
      <c r="Q124" s="24">
        <f t="shared" si="144"/>
        <v>1</v>
      </c>
      <c r="R124" s="21">
        <f t="shared" si="145"/>
        <v>88</v>
      </c>
      <c r="S124" s="39">
        <f t="shared" si="126"/>
        <v>4.6648000000000005</v>
      </c>
      <c r="T124" s="5">
        <f t="shared" si="127"/>
        <v>83.966400000000007</v>
      </c>
      <c r="U124" s="7">
        <f t="shared" si="128"/>
        <v>3900</v>
      </c>
      <c r="V124">
        <f t="shared" si="166"/>
        <v>3.2</v>
      </c>
      <c r="W124" s="77">
        <f t="shared" si="171"/>
        <v>54</v>
      </c>
      <c r="X124" s="6">
        <f t="shared" si="146"/>
        <v>210.6</v>
      </c>
      <c r="Y124" s="6">
        <f t="shared" si="147"/>
        <v>18.192720000000001</v>
      </c>
      <c r="Z124" s="5">
        <f t="shared" si="167"/>
        <v>192.40727999999999</v>
      </c>
      <c r="AA124" s="5">
        <f t="shared" si="129"/>
        <v>60.12727499999999</v>
      </c>
      <c r="AB124" s="5">
        <f t="shared" si="148"/>
        <v>60.12727499999999</v>
      </c>
      <c r="AC124" s="80">
        <f t="shared" si="149"/>
        <v>210.6</v>
      </c>
      <c r="AD124" s="5">
        <f t="shared" si="150"/>
        <v>31.704518309859157</v>
      </c>
      <c r="AE124" s="5">
        <f t="shared" si="151"/>
        <v>14.92736</v>
      </c>
      <c r="AF124" s="5">
        <f t="shared" si="152"/>
        <v>18.192720000000001</v>
      </c>
      <c r="AG124" s="7">
        <f t="shared" si="130"/>
        <v>31704.518309859159</v>
      </c>
      <c r="AH124" s="5">
        <f t="shared" si="153"/>
        <v>192.40727999999999</v>
      </c>
      <c r="AI124" s="7">
        <f t="shared" si="154"/>
        <v>60127.274999999994</v>
      </c>
      <c r="AJ124" s="6">
        <f t="shared" si="155"/>
        <v>192.40727999999999</v>
      </c>
      <c r="AK124" s="7">
        <f t="shared" si="168"/>
        <v>5421.9547246899438</v>
      </c>
      <c r="AL124" s="7"/>
      <c r="AM124" s="7"/>
      <c r="AO124" s="18"/>
      <c r="AP124" s="4">
        <f t="shared" si="170"/>
        <v>40715</v>
      </c>
      <c r="AQ124" s="36">
        <v>0.8125</v>
      </c>
      <c r="AR124">
        <v>4000</v>
      </c>
      <c r="AT124" s="4">
        <v>40716</v>
      </c>
      <c r="AU124" s="36">
        <v>0.3659722222222222</v>
      </c>
      <c r="AV124">
        <v>1800</v>
      </c>
      <c r="AX124" s="45">
        <f t="shared" si="131"/>
        <v>3974.9058971141785</v>
      </c>
      <c r="AY124" s="45">
        <f t="shared" si="132"/>
        <v>0</v>
      </c>
      <c r="AZ124" s="7">
        <f t="shared" si="133"/>
        <v>3974.9058971141785</v>
      </c>
      <c r="BA124" s="18">
        <f t="shared" si="134"/>
        <v>1</v>
      </c>
      <c r="BB124" s="6">
        <f t="shared" si="135"/>
        <v>13.283333333333331</v>
      </c>
      <c r="BI124" s="91"/>
      <c r="BJ124" s="27"/>
      <c r="BK124" s="21"/>
      <c r="BL124" s="12">
        <v>40716</v>
      </c>
      <c r="BM124" s="72">
        <f t="shared" si="136"/>
        <v>0</v>
      </c>
      <c r="BN124" s="18">
        <f t="shared" si="156"/>
        <v>1</v>
      </c>
      <c r="BO124">
        <f t="shared" si="157"/>
        <v>79</v>
      </c>
      <c r="BP124" s="5"/>
      <c r="BQ124" s="7">
        <f t="shared" si="137"/>
        <v>3852.2292993630567</v>
      </c>
      <c r="BR124" s="7"/>
      <c r="BS124" s="7">
        <f t="shared" si="120"/>
        <v>3852.2292993630567</v>
      </c>
      <c r="BT124">
        <f t="shared" si="172"/>
        <v>3.2</v>
      </c>
      <c r="BU124">
        <f t="shared" si="124"/>
        <v>60</v>
      </c>
      <c r="BV124" s="6">
        <f t="shared" si="138"/>
        <v>231.1337579617834</v>
      </c>
      <c r="BW124" s="6">
        <f t="shared" si="139"/>
        <v>0</v>
      </c>
      <c r="BX124" s="5">
        <f t="shared" si="140"/>
        <v>231.1337579617834</v>
      </c>
      <c r="BY124" s="5">
        <f t="shared" si="141"/>
        <v>72.229299363057308</v>
      </c>
      <c r="BZ124" s="5">
        <f t="shared" si="142"/>
        <v>72.229299363057308</v>
      </c>
      <c r="CA124" s="5">
        <f t="shared" si="143"/>
        <v>231.1337579617834</v>
      </c>
      <c r="CB124" s="7">
        <f t="shared" si="158"/>
        <v>4176.0094489314615</v>
      </c>
      <c r="CC124" s="5">
        <f t="shared" si="159"/>
        <v>1.2033841654752002</v>
      </c>
      <c r="CD124" s="7">
        <f t="shared" si="169"/>
        <v>90</v>
      </c>
      <c r="CE124" s="5">
        <f t="shared" si="160"/>
        <v>242.8540540540541</v>
      </c>
      <c r="CF124" s="5">
        <f t="shared" si="161"/>
        <v>6758.6506642373606</v>
      </c>
      <c r="CG124">
        <f t="shared" si="74"/>
        <v>90</v>
      </c>
      <c r="CH124" s="5">
        <f t="shared" si="162"/>
        <v>194.35630183783786</v>
      </c>
      <c r="CI124" s="5">
        <f t="shared" si="163"/>
        <v>5817.6854574955241</v>
      </c>
      <c r="CJ124" s="5">
        <f t="shared" si="164"/>
        <v>1.2495301246093917</v>
      </c>
      <c r="CK124" s="5">
        <f t="shared" si="165"/>
        <v>1.1617421934576222</v>
      </c>
      <c r="CL124" s="5"/>
      <c r="CM124" s="5"/>
      <c r="CN124" s="5"/>
      <c r="CO124" s="51"/>
      <c r="CQ124" s="51"/>
      <c r="CR124" s="6"/>
      <c r="CT124" s="4"/>
      <c r="CU124" s="7"/>
      <c r="CX124" s="7"/>
      <c r="DA124" s="5"/>
      <c r="DB124" s="126"/>
      <c r="DC124" s="127"/>
      <c r="DD124" s="129"/>
      <c r="DE124" s="17"/>
      <c r="DF124" s="128"/>
      <c r="DG124" s="128"/>
      <c r="DH124" s="87"/>
      <c r="DI124" s="17"/>
      <c r="DJ124" s="128"/>
      <c r="DK124" s="87"/>
      <c r="DL124" s="17"/>
      <c r="DM124" s="87"/>
      <c r="DN124" s="87"/>
      <c r="DO124" s="87"/>
      <c r="DP124" s="87"/>
      <c r="DQ124" s="17"/>
      <c r="DR124" s="17"/>
      <c r="DU124" s="5"/>
      <c r="DV124" s="7"/>
      <c r="DX124" s="7"/>
      <c r="DY124" s="7"/>
      <c r="DZ124" s="5"/>
    </row>
    <row r="125" spans="2:130">
      <c r="D125" s="4"/>
      <c r="E125" s="39"/>
      <c r="F125" s="48"/>
      <c r="G125" s="4"/>
      <c r="H125" s="7"/>
      <c r="I125" s="48"/>
      <c r="J125" s="4"/>
      <c r="K125" s="76"/>
      <c r="L125" s="107"/>
      <c r="M125" s="76">
        <v>4737</v>
      </c>
      <c r="N125" s="104">
        <v>40726</v>
      </c>
      <c r="O125" s="82">
        <v>40726</v>
      </c>
      <c r="P125" s="76">
        <v>4737</v>
      </c>
      <c r="Q125" s="24">
        <f t="shared" si="144"/>
        <v>1</v>
      </c>
      <c r="R125" s="21">
        <f t="shared" si="145"/>
        <v>89</v>
      </c>
      <c r="S125" s="39">
        <f t="shared" si="126"/>
        <v>4.7370000000000001</v>
      </c>
      <c r="T125" s="5">
        <f t="shared" si="127"/>
        <v>85.266000000000005</v>
      </c>
      <c r="U125" s="7">
        <f t="shared" si="128"/>
        <v>4087.7419354838712</v>
      </c>
      <c r="V125">
        <f t="shared" si="166"/>
        <v>3.2</v>
      </c>
      <c r="W125" s="77">
        <f t="shared" si="171"/>
        <v>54</v>
      </c>
      <c r="X125" s="6">
        <f t="shared" si="146"/>
        <v>220.73806451612904</v>
      </c>
      <c r="Y125" s="6">
        <f t="shared" si="147"/>
        <v>19.363633548387099</v>
      </c>
      <c r="Z125" s="5">
        <f t="shared" si="167"/>
        <v>201.37443096774194</v>
      </c>
      <c r="AA125" s="5">
        <f t="shared" si="129"/>
        <v>62.929509677419354</v>
      </c>
      <c r="AB125" s="5">
        <f t="shared" si="148"/>
        <v>62.929509677419354</v>
      </c>
      <c r="AC125" s="80">
        <f t="shared" si="149"/>
        <v>220.73806451612904</v>
      </c>
      <c r="AD125" s="5">
        <f t="shared" si="150"/>
        <v>32.337235127478756</v>
      </c>
      <c r="AE125" s="5">
        <f t="shared" si="151"/>
        <v>15.158400000000002</v>
      </c>
      <c r="AF125" s="5">
        <f t="shared" si="152"/>
        <v>19.363633548387096</v>
      </c>
      <c r="AG125" s="7">
        <f t="shared" si="130"/>
        <v>32337.235127478758</v>
      </c>
      <c r="AH125" s="5">
        <f t="shared" si="153"/>
        <v>201.37443096774194</v>
      </c>
      <c r="AI125" s="7">
        <f t="shared" si="154"/>
        <v>62929.509677419352</v>
      </c>
      <c r="AJ125" s="6">
        <f t="shared" si="155"/>
        <v>201.37443096774194</v>
      </c>
      <c r="AK125" s="7">
        <f t="shared" si="168"/>
        <v>5623.329155657686</v>
      </c>
      <c r="AL125" s="7"/>
      <c r="AM125" s="7"/>
      <c r="AO125" s="18"/>
      <c r="AP125" s="4">
        <f t="shared" si="170"/>
        <v>40716</v>
      </c>
      <c r="AQ125" s="36">
        <v>0.82291666666666663</v>
      </c>
      <c r="AR125">
        <v>4000</v>
      </c>
      <c r="AT125" s="4">
        <v>40717</v>
      </c>
      <c r="AU125" s="36">
        <v>0.36805555555555558</v>
      </c>
      <c r="AV125">
        <v>1900</v>
      </c>
      <c r="AX125" s="45">
        <f t="shared" si="131"/>
        <v>3852.2292993630567</v>
      </c>
      <c r="AY125" s="45">
        <f t="shared" si="132"/>
        <v>0</v>
      </c>
      <c r="AZ125" s="7">
        <f t="shared" si="133"/>
        <v>3852.2292993630567</v>
      </c>
      <c r="BA125" s="18">
        <f t="shared" si="134"/>
        <v>1</v>
      </c>
      <c r="BB125" s="6">
        <f t="shared" si="135"/>
        <v>13.083333333333336</v>
      </c>
      <c r="BI125" s="91"/>
      <c r="BJ125" s="99">
        <v>0</v>
      </c>
      <c r="BK125" s="94">
        <v>40717</v>
      </c>
      <c r="BL125" s="12">
        <v>40717</v>
      </c>
      <c r="BM125" s="72">
        <f t="shared" si="136"/>
        <v>0</v>
      </c>
      <c r="BN125" s="18">
        <f t="shared" si="156"/>
        <v>1</v>
      </c>
      <c r="BO125">
        <f t="shared" si="157"/>
        <v>80</v>
      </c>
      <c r="BP125" s="5">
        <f t="shared" ref="BP125:BP134" si="173">+BJ125</f>
        <v>0</v>
      </c>
      <c r="BQ125" s="7">
        <f t="shared" si="137"/>
        <v>3720.9302325581393</v>
      </c>
      <c r="BR125" s="7"/>
      <c r="BS125" s="7">
        <f t="shared" si="120"/>
        <v>3720.9302325581393</v>
      </c>
      <c r="BT125">
        <f t="shared" si="172"/>
        <v>3.2</v>
      </c>
      <c r="BU125">
        <f t="shared" si="124"/>
        <v>60</v>
      </c>
      <c r="BV125" s="6">
        <f t="shared" si="138"/>
        <v>223.25581395348837</v>
      </c>
      <c r="BW125" s="6">
        <f t="shared" si="139"/>
        <v>0</v>
      </c>
      <c r="BX125" s="5">
        <f t="shared" si="140"/>
        <v>223.25581395348837</v>
      </c>
      <c r="BY125" s="5">
        <f t="shared" si="141"/>
        <v>69.767441860465112</v>
      </c>
      <c r="BZ125" s="5">
        <f t="shared" si="142"/>
        <v>69.767441860465112</v>
      </c>
      <c r="CA125" s="5">
        <f t="shared" si="143"/>
        <v>223.25581395348837</v>
      </c>
      <c r="CB125" s="7">
        <f t="shared" si="158"/>
        <v>4399.2652628849501</v>
      </c>
      <c r="CC125" s="5">
        <f t="shared" si="159"/>
        <v>1.142822288030074</v>
      </c>
      <c r="CE125" s="5"/>
      <c r="CO125" s="51"/>
      <c r="CQ125" s="51"/>
      <c r="CR125" s="6"/>
      <c r="CT125" s="4"/>
      <c r="CU125" s="7"/>
      <c r="CX125" s="7"/>
      <c r="DA125" s="5"/>
      <c r="DB125" s="126"/>
      <c r="DC125" s="127"/>
      <c r="DD125" s="129"/>
      <c r="DE125" s="17"/>
      <c r="DF125" s="128"/>
      <c r="DG125" s="128"/>
      <c r="DH125" s="87"/>
      <c r="DI125" s="17"/>
      <c r="DJ125" s="128"/>
      <c r="DK125" s="87"/>
      <c r="DL125" s="17"/>
      <c r="DM125" s="87"/>
      <c r="DN125" s="87"/>
      <c r="DO125" s="87"/>
      <c r="DP125" s="87"/>
      <c r="DQ125" s="17"/>
      <c r="DR125" s="17"/>
      <c r="DU125" s="5"/>
      <c r="DV125" s="7"/>
      <c r="DX125" s="7"/>
      <c r="DY125" s="7"/>
      <c r="DZ125" s="5"/>
    </row>
    <row r="126" spans="2:130">
      <c r="B126" s="7"/>
      <c r="D126" s="4"/>
      <c r="E126" s="39"/>
      <c r="F126" s="48"/>
      <c r="G126" s="4"/>
      <c r="H126" s="7"/>
      <c r="I126" s="48"/>
      <c r="J126" s="4"/>
      <c r="K126" s="76"/>
      <c r="L126" s="107"/>
      <c r="O126" s="82">
        <v>40727</v>
      </c>
      <c r="P126" s="108">
        <f>+(P125+P127)/2</f>
        <v>5981.9500000000007</v>
      </c>
      <c r="Q126" s="24">
        <f t="shared" si="144"/>
        <v>1</v>
      </c>
      <c r="R126" s="21">
        <f t="shared" si="145"/>
        <v>90</v>
      </c>
      <c r="S126" s="39">
        <f t="shared" si="126"/>
        <v>5.9819500000000003</v>
      </c>
      <c r="T126" s="5">
        <f t="shared" si="127"/>
        <v>107.6751</v>
      </c>
      <c r="U126" s="7">
        <f t="shared" si="128"/>
        <v>4047.5675675675684</v>
      </c>
      <c r="V126">
        <f t="shared" si="166"/>
        <v>3.2</v>
      </c>
      <c r="W126" s="77">
        <f t="shared" si="171"/>
        <v>54</v>
      </c>
      <c r="X126" s="6">
        <f t="shared" si="146"/>
        <v>218.56864864864869</v>
      </c>
      <c r="Y126" s="6">
        <f t="shared" si="147"/>
        <v>24.212346810810818</v>
      </c>
      <c r="Z126" s="5">
        <f t="shared" si="167"/>
        <v>194.35630183783786</v>
      </c>
      <c r="AA126" s="5">
        <f t="shared" si="129"/>
        <v>60.736344324324328</v>
      </c>
      <c r="AB126" s="5">
        <f t="shared" si="148"/>
        <v>60.736344324324335</v>
      </c>
      <c r="AC126" s="80">
        <f t="shared" si="149"/>
        <v>218.56864864864869</v>
      </c>
      <c r="AD126" s="5">
        <f t="shared" si="150"/>
        <v>32.249033412887833</v>
      </c>
      <c r="AE126" s="5">
        <f t="shared" si="151"/>
        <v>19.142240000000001</v>
      </c>
      <c r="AF126" s="5">
        <f t="shared" si="152"/>
        <v>24.212346810810818</v>
      </c>
      <c r="AG126" s="7">
        <f t="shared" si="130"/>
        <v>32249.033412887835</v>
      </c>
      <c r="AH126" s="5">
        <f t="shared" si="153"/>
        <v>194.35630183783786</v>
      </c>
      <c r="AI126" s="7">
        <f t="shared" si="154"/>
        <v>60736.344324324324</v>
      </c>
      <c r="AJ126" s="6">
        <f t="shared" si="155"/>
        <v>194.35630183783786</v>
      </c>
      <c r="AK126" s="7">
        <f t="shared" si="168"/>
        <v>5817.6854574955241</v>
      </c>
      <c r="AL126" s="7"/>
      <c r="AM126" s="7"/>
      <c r="AO126" s="18"/>
      <c r="AP126" s="4">
        <f t="shared" si="170"/>
        <v>40717</v>
      </c>
      <c r="AQ126" s="36">
        <v>0.81666666666666676</v>
      </c>
      <c r="AR126">
        <v>4000</v>
      </c>
      <c r="AT126" s="4">
        <v>40718</v>
      </c>
      <c r="AU126" s="36">
        <v>0.35416666666666669</v>
      </c>
      <c r="AV126">
        <v>2000</v>
      </c>
      <c r="AX126" s="45">
        <f t="shared" si="131"/>
        <v>3720.9302325581393</v>
      </c>
      <c r="AY126" s="45">
        <f t="shared" si="132"/>
        <v>0</v>
      </c>
      <c r="AZ126" s="7">
        <f t="shared" si="133"/>
        <v>3720.9302325581393</v>
      </c>
      <c r="BA126" s="18">
        <f t="shared" si="134"/>
        <v>1</v>
      </c>
      <c r="BB126" s="6">
        <f t="shared" si="135"/>
        <v>12.9</v>
      </c>
      <c r="BI126" s="91"/>
      <c r="BJ126" s="99">
        <v>0</v>
      </c>
      <c r="BK126" s="94">
        <v>40718</v>
      </c>
      <c r="BL126" s="12">
        <v>40718</v>
      </c>
      <c r="BM126" s="72">
        <f t="shared" si="136"/>
        <v>0</v>
      </c>
      <c r="BN126" s="18">
        <f t="shared" si="156"/>
        <v>1</v>
      </c>
      <c r="BO126">
        <f t="shared" si="157"/>
        <v>81</v>
      </c>
      <c r="BP126" s="5">
        <f t="shared" si="173"/>
        <v>0</v>
      </c>
      <c r="BQ126" s="7">
        <f t="shared" si="137"/>
        <v>4034.1047503045065</v>
      </c>
      <c r="BR126" s="7"/>
      <c r="BS126" s="7">
        <f t="shared" ref="BS126:BS151" si="174">+BQ126</f>
        <v>4034.1047503045065</v>
      </c>
      <c r="BT126">
        <f t="shared" si="172"/>
        <v>3.2</v>
      </c>
      <c r="BU126">
        <f t="shared" si="124"/>
        <v>60</v>
      </c>
      <c r="BV126" s="6">
        <f t="shared" si="138"/>
        <v>242.0462850182704</v>
      </c>
      <c r="BW126" s="6">
        <f t="shared" si="139"/>
        <v>0</v>
      </c>
      <c r="BX126" s="5">
        <f t="shared" si="140"/>
        <v>242.0462850182704</v>
      </c>
      <c r="BY126" s="5">
        <f t="shared" si="141"/>
        <v>75.639464068209492</v>
      </c>
      <c r="BZ126" s="5">
        <f t="shared" si="142"/>
        <v>75.639464068209492</v>
      </c>
      <c r="CA126" s="5">
        <f t="shared" si="143"/>
        <v>242.0462850182704</v>
      </c>
      <c r="CB126" s="7">
        <f t="shared" si="158"/>
        <v>4641.3115479032203</v>
      </c>
      <c r="CC126" s="5">
        <f t="shared" si="159"/>
        <v>1.1434611951829177</v>
      </c>
      <c r="CD126" s="7"/>
      <c r="CE126" s="5"/>
      <c r="CF126" s="5"/>
      <c r="CO126" s="51"/>
      <c r="CQ126" s="51"/>
      <c r="CR126" s="6"/>
      <c r="CT126" s="4"/>
      <c r="CU126" s="7"/>
      <c r="CX126" s="7"/>
      <c r="DA126" s="5"/>
      <c r="DB126" s="126"/>
      <c r="DC126" s="127"/>
      <c r="DD126" s="129"/>
      <c r="DE126" s="17"/>
      <c r="DF126" s="128"/>
      <c r="DG126" s="128"/>
      <c r="DH126" s="87"/>
      <c r="DI126" s="17"/>
      <c r="DJ126" s="128"/>
      <c r="DK126" s="87"/>
      <c r="DL126" s="17"/>
      <c r="DM126" s="87"/>
      <c r="DN126" s="87"/>
      <c r="DO126" s="87"/>
      <c r="DP126" s="87"/>
      <c r="DQ126" s="17"/>
      <c r="DR126" s="17"/>
      <c r="DU126" s="5"/>
      <c r="DV126" s="7"/>
      <c r="DX126" s="7"/>
      <c r="DY126" s="7"/>
      <c r="DZ126" s="5"/>
    </row>
    <row r="127" spans="2:130">
      <c r="B127" s="7"/>
      <c r="D127" s="4"/>
      <c r="E127" s="39"/>
      <c r="F127" s="48"/>
      <c r="G127" s="4"/>
      <c r="H127" s="7"/>
      <c r="I127" s="48"/>
      <c r="J127" s="4"/>
      <c r="K127" s="76"/>
      <c r="L127" s="107"/>
      <c r="M127" s="76">
        <v>7226.9000000000005</v>
      </c>
      <c r="N127" s="104">
        <v>40728</v>
      </c>
      <c r="O127" s="82">
        <v>40728</v>
      </c>
      <c r="P127" s="76">
        <v>7226.9000000000005</v>
      </c>
      <c r="Q127" s="24">
        <f t="shared" si="144"/>
        <v>1</v>
      </c>
      <c r="R127" s="21">
        <f t="shared" si="145"/>
        <v>91</v>
      </c>
      <c r="S127" s="39">
        <f t="shared" si="126"/>
        <v>7.2269000000000005</v>
      </c>
      <c r="T127" s="5">
        <f t="shared" si="127"/>
        <v>130.08420000000001</v>
      </c>
      <c r="U127" s="7">
        <f t="shared" si="128"/>
        <v>3860.5898123324387</v>
      </c>
      <c r="V127">
        <f t="shared" si="166"/>
        <v>3.2</v>
      </c>
      <c r="W127" s="77">
        <f t="shared" si="171"/>
        <v>54</v>
      </c>
      <c r="X127" s="6">
        <f t="shared" si="146"/>
        <v>208.4718498659517</v>
      </c>
      <c r="Y127" s="6">
        <f t="shared" si="147"/>
        <v>27.900096514745304</v>
      </c>
      <c r="Z127" s="5">
        <f t="shared" si="167"/>
        <v>180.57175335120638</v>
      </c>
      <c r="AA127" s="5">
        <f t="shared" si="129"/>
        <v>56.428672922251991</v>
      </c>
      <c r="AB127" s="5">
        <f t="shared" si="148"/>
        <v>56.428672922251991</v>
      </c>
      <c r="AC127" s="80">
        <f t="shared" si="149"/>
        <v>208.4718498659517</v>
      </c>
      <c r="AD127" s="5">
        <f t="shared" si="150"/>
        <v>32.237262879708382</v>
      </c>
      <c r="AE127" s="5">
        <f t="shared" si="151"/>
        <v>23.126080000000002</v>
      </c>
      <c r="AF127" s="5">
        <f t="shared" si="152"/>
        <v>27.900096514745304</v>
      </c>
      <c r="AG127" s="7">
        <f t="shared" si="130"/>
        <v>32237.262879708382</v>
      </c>
      <c r="AH127" s="5">
        <f t="shared" si="153"/>
        <v>180.57175335120638</v>
      </c>
      <c r="AI127" s="7">
        <f t="shared" si="154"/>
        <v>56428.672922251993</v>
      </c>
      <c r="AJ127" s="6">
        <f t="shared" si="155"/>
        <v>180.57175335120638</v>
      </c>
      <c r="AK127" s="7">
        <f t="shared" si="168"/>
        <v>5998.2572108467302</v>
      </c>
      <c r="AL127" s="7"/>
      <c r="AM127" s="7"/>
      <c r="AO127" s="18"/>
      <c r="AP127" s="4">
        <f t="shared" si="170"/>
        <v>40718</v>
      </c>
      <c r="AQ127" s="36">
        <v>0.82013888888888886</v>
      </c>
      <c r="AR127">
        <v>3900</v>
      </c>
      <c r="AT127" s="4">
        <v>40719</v>
      </c>
      <c r="AU127" s="36">
        <v>0.39027777777777778</v>
      </c>
      <c r="AV127">
        <v>1600</v>
      </c>
      <c r="AX127" s="45">
        <f t="shared" si="131"/>
        <v>4034.1047503045065</v>
      </c>
      <c r="AY127" s="45">
        <f t="shared" si="132"/>
        <v>0</v>
      </c>
      <c r="AZ127" s="7">
        <f t="shared" si="133"/>
        <v>4034.1047503045065</v>
      </c>
      <c r="BA127" s="18">
        <f t="shared" si="134"/>
        <v>1</v>
      </c>
      <c r="BB127" s="6">
        <f t="shared" si="135"/>
        <v>13.683333333333334</v>
      </c>
      <c r="BI127" s="91"/>
      <c r="BJ127" s="99">
        <v>4.7839999999999998</v>
      </c>
      <c r="BK127" s="94">
        <v>40719</v>
      </c>
      <c r="BL127" s="12">
        <v>40719</v>
      </c>
      <c r="BM127" s="72">
        <f t="shared" si="136"/>
        <v>104</v>
      </c>
      <c r="BN127" s="18">
        <f t="shared" si="156"/>
        <v>1</v>
      </c>
      <c r="BO127">
        <f t="shared" si="157"/>
        <v>82</v>
      </c>
      <c r="BP127" s="5">
        <f t="shared" si="173"/>
        <v>4.7839999999999998</v>
      </c>
      <c r="BQ127" s="7">
        <f t="shared" si="137"/>
        <v>3896.4705882352946</v>
      </c>
      <c r="BR127" s="7"/>
      <c r="BS127" s="7">
        <f t="shared" si="174"/>
        <v>3896.4705882352946</v>
      </c>
      <c r="BT127">
        <f t="shared" si="172"/>
        <v>3.2</v>
      </c>
      <c r="BU127">
        <f t="shared" si="124"/>
        <v>60</v>
      </c>
      <c r="BV127" s="6">
        <f t="shared" si="138"/>
        <v>233.78823529411767</v>
      </c>
      <c r="BW127" s="6">
        <f t="shared" si="139"/>
        <v>0.40523294117647068</v>
      </c>
      <c r="BX127" s="5">
        <f t="shared" si="140"/>
        <v>233.38300235294119</v>
      </c>
      <c r="BY127" s="5">
        <f t="shared" si="141"/>
        <v>72.93218823529412</v>
      </c>
      <c r="BZ127" s="5">
        <f t="shared" si="142"/>
        <v>72.93218823529412</v>
      </c>
      <c r="CA127" s="5">
        <f t="shared" si="143"/>
        <v>233.78823529411767</v>
      </c>
      <c r="CB127" s="7">
        <f t="shared" si="158"/>
        <v>4875.0997831973382</v>
      </c>
      <c r="CC127" s="5">
        <f t="shared" si="159"/>
        <v>1.1453652222743516</v>
      </c>
      <c r="CE127" s="5"/>
      <c r="CO127" s="51"/>
      <c r="CQ127" s="51"/>
      <c r="CR127" s="6"/>
      <c r="CT127" s="4"/>
      <c r="CU127" s="7"/>
      <c r="CX127" s="7"/>
      <c r="DA127" s="5"/>
      <c r="DB127" s="126"/>
      <c r="DC127" s="127"/>
      <c r="DD127" s="129"/>
      <c r="DE127" s="17"/>
      <c r="DF127" s="128"/>
      <c r="DG127" s="128"/>
      <c r="DH127" s="87"/>
      <c r="DI127" s="17"/>
      <c r="DJ127" s="128"/>
      <c r="DK127" s="87"/>
      <c r="DL127" s="17"/>
      <c r="DM127" s="87"/>
      <c r="DN127" s="87"/>
      <c r="DO127" s="87"/>
      <c r="DP127" s="87"/>
      <c r="DQ127" s="17"/>
      <c r="DR127" s="17"/>
      <c r="DU127" s="5"/>
      <c r="DV127" s="7"/>
      <c r="DX127" s="7"/>
      <c r="DY127" s="7"/>
      <c r="DZ127" s="5"/>
    </row>
    <row r="128" spans="2:130">
      <c r="B128" s="7"/>
      <c r="D128" s="4"/>
      <c r="E128" s="39"/>
      <c r="F128" s="48"/>
      <c r="G128" s="4"/>
      <c r="H128" s="7"/>
      <c r="I128" s="48"/>
      <c r="J128" s="4"/>
      <c r="K128" s="76"/>
      <c r="L128" s="107"/>
      <c r="M128" s="76">
        <v>7618.5</v>
      </c>
      <c r="N128" s="104">
        <v>40729</v>
      </c>
      <c r="O128" s="82">
        <v>40729</v>
      </c>
      <c r="P128" s="76">
        <v>7618.5</v>
      </c>
      <c r="Q128" s="24">
        <f t="shared" si="144"/>
        <v>1</v>
      </c>
      <c r="R128" s="21">
        <f t="shared" si="145"/>
        <v>92</v>
      </c>
      <c r="S128" s="39">
        <f t="shared" si="126"/>
        <v>7.6185</v>
      </c>
      <c r="T128" s="5">
        <f t="shared" si="127"/>
        <v>137.13300000000001</v>
      </c>
      <c r="U128" s="7">
        <f t="shared" si="128"/>
        <v>3781.5126050420167</v>
      </c>
      <c r="V128">
        <f t="shared" si="166"/>
        <v>3.2</v>
      </c>
      <c r="W128" s="77">
        <f t="shared" si="171"/>
        <v>54</v>
      </c>
      <c r="X128" s="6">
        <f t="shared" si="146"/>
        <v>204.20168067226891</v>
      </c>
      <c r="Y128" s="6">
        <f t="shared" si="147"/>
        <v>28.809453781512602</v>
      </c>
      <c r="Z128" s="5">
        <f t="shared" si="167"/>
        <v>175.39222689075632</v>
      </c>
      <c r="AA128" s="5">
        <f t="shared" si="129"/>
        <v>54.81007090336135</v>
      </c>
      <c r="AB128" s="5">
        <f t="shared" si="148"/>
        <v>54.81007090336135</v>
      </c>
      <c r="AC128" s="80">
        <f t="shared" si="149"/>
        <v>204.20168067226891</v>
      </c>
      <c r="AD128" s="5">
        <f t="shared" si="150"/>
        <v>32.561390852190662</v>
      </c>
      <c r="AE128" s="5">
        <f t="shared" si="151"/>
        <v>24.379200000000001</v>
      </c>
      <c r="AF128" s="5">
        <f t="shared" si="152"/>
        <v>28.809453781512605</v>
      </c>
      <c r="AG128" s="7">
        <f t="shared" si="130"/>
        <v>32561.390852190663</v>
      </c>
      <c r="AH128" s="5">
        <f t="shared" si="153"/>
        <v>175.39222689075629</v>
      </c>
      <c r="AI128" s="7">
        <f t="shared" si="154"/>
        <v>54810.070903361338</v>
      </c>
      <c r="AJ128" s="6">
        <f t="shared" si="155"/>
        <v>175.39222689075632</v>
      </c>
      <c r="AK128" s="7">
        <f t="shared" si="168"/>
        <v>6173.6494377374866</v>
      </c>
      <c r="AL128" s="7"/>
      <c r="AM128" s="7"/>
      <c r="AO128" s="18"/>
      <c r="AP128" s="4">
        <f t="shared" si="170"/>
        <v>40719</v>
      </c>
      <c r="AQ128" s="36">
        <v>0.80208333333333337</v>
      </c>
      <c r="AR128">
        <v>4000</v>
      </c>
      <c r="AT128" s="4">
        <v>40720</v>
      </c>
      <c r="AU128" s="36">
        <v>0.3923611111111111</v>
      </c>
      <c r="AV128">
        <v>1700</v>
      </c>
      <c r="AX128" s="45">
        <f t="shared" si="131"/>
        <v>3896.4705882352946</v>
      </c>
      <c r="AY128" s="45">
        <f t="shared" si="132"/>
        <v>0</v>
      </c>
      <c r="AZ128" s="7">
        <f t="shared" si="133"/>
        <v>3896.4705882352946</v>
      </c>
      <c r="BA128" s="18">
        <f t="shared" si="134"/>
        <v>1</v>
      </c>
      <c r="BB128" s="6">
        <f t="shared" si="135"/>
        <v>14.166666666666664</v>
      </c>
      <c r="BI128" s="91"/>
      <c r="BJ128" s="99">
        <v>0</v>
      </c>
      <c r="BK128" s="94">
        <v>40720</v>
      </c>
      <c r="BL128" s="12">
        <v>40720</v>
      </c>
      <c r="BM128" s="72">
        <f t="shared" si="136"/>
        <v>0</v>
      </c>
      <c r="BN128" s="18">
        <f t="shared" si="156"/>
        <v>1</v>
      </c>
      <c r="BO128">
        <f t="shared" si="157"/>
        <v>83</v>
      </c>
      <c r="BP128" s="5">
        <f t="shared" si="173"/>
        <v>0</v>
      </c>
      <c r="BQ128" s="7">
        <f t="shared" si="137"/>
        <v>3863.4146341463429</v>
      </c>
      <c r="BR128" s="7"/>
      <c r="BS128" s="7">
        <f t="shared" si="174"/>
        <v>3863.4146341463429</v>
      </c>
      <c r="BT128">
        <f t="shared" si="172"/>
        <v>3.2</v>
      </c>
      <c r="BU128">
        <f t="shared" si="124"/>
        <v>60</v>
      </c>
      <c r="BV128" s="6">
        <f t="shared" si="138"/>
        <v>231.80487804878058</v>
      </c>
      <c r="BW128" s="6">
        <f t="shared" si="139"/>
        <v>0</v>
      </c>
      <c r="BX128" s="5">
        <f t="shared" si="140"/>
        <v>231.80487804878058</v>
      </c>
      <c r="BY128" s="5">
        <f t="shared" si="141"/>
        <v>72.439024390243929</v>
      </c>
      <c r="BZ128" s="5">
        <f t="shared" si="142"/>
        <v>72.439024390243929</v>
      </c>
      <c r="CA128" s="5">
        <f t="shared" si="143"/>
        <v>231.80487804878058</v>
      </c>
      <c r="CB128" s="7">
        <f t="shared" si="158"/>
        <v>5106.9046612461188</v>
      </c>
      <c r="CC128" s="5">
        <f t="shared" si="159"/>
        <v>1.1458969544362059</v>
      </c>
      <c r="CE128" s="5"/>
      <c r="CO128" s="51"/>
      <c r="CQ128" s="51"/>
      <c r="CR128" s="6"/>
      <c r="CT128" s="4"/>
      <c r="CU128" s="7"/>
      <c r="CX128" s="7"/>
      <c r="DA128" s="5"/>
      <c r="DB128" s="126"/>
      <c r="DC128" s="127"/>
      <c r="DD128" s="129"/>
      <c r="DE128" s="17"/>
      <c r="DF128" s="128"/>
      <c r="DG128" s="128"/>
      <c r="DH128" s="87"/>
      <c r="DI128" s="17"/>
      <c r="DJ128" s="128"/>
      <c r="DK128" s="87"/>
      <c r="DL128" s="17"/>
      <c r="DM128" s="87"/>
      <c r="DN128" s="87"/>
      <c r="DO128" s="87"/>
      <c r="DP128" s="87"/>
      <c r="DQ128" s="17"/>
      <c r="DR128" s="17"/>
      <c r="DU128" s="5"/>
      <c r="DV128" s="7"/>
      <c r="DX128" s="7"/>
      <c r="DY128" s="7"/>
      <c r="DZ128" s="5"/>
    </row>
    <row r="129" spans="2:130">
      <c r="B129" s="7"/>
      <c r="D129" s="4"/>
      <c r="E129" s="39"/>
      <c r="F129" s="48"/>
      <c r="G129" s="4"/>
      <c r="H129" s="7"/>
      <c r="I129" s="48"/>
      <c r="J129" s="4"/>
      <c r="K129" s="7"/>
      <c r="L129" s="107"/>
      <c r="M129" s="76">
        <v>3496.7</v>
      </c>
      <c r="N129" s="104">
        <v>40730</v>
      </c>
      <c r="O129" s="82">
        <v>40730</v>
      </c>
      <c r="P129" s="76">
        <v>3496.7</v>
      </c>
      <c r="Q129" s="24">
        <f t="shared" si="144"/>
        <v>1</v>
      </c>
      <c r="R129" s="21">
        <f t="shared" si="145"/>
        <v>93</v>
      </c>
      <c r="S129" s="39">
        <f t="shared" si="126"/>
        <v>3.4966999999999997</v>
      </c>
      <c r="T129" s="5">
        <f t="shared" si="127"/>
        <v>62.940599999999996</v>
      </c>
      <c r="U129" s="7">
        <f t="shared" si="128"/>
        <v>3810.3638368246966</v>
      </c>
      <c r="V129">
        <f t="shared" si="166"/>
        <v>3.2</v>
      </c>
      <c r="W129" s="77">
        <f t="shared" si="171"/>
        <v>54</v>
      </c>
      <c r="X129" s="6">
        <f t="shared" si="146"/>
        <v>205.75964718853362</v>
      </c>
      <c r="Y129" s="6">
        <f t="shared" si="147"/>
        <v>13.323699228224916</v>
      </c>
      <c r="Z129" s="5">
        <f t="shared" si="167"/>
        <v>192.43594796030871</v>
      </c>
      <c r="AA129" s="5">
        <f t="shared" si="129"/>
        <v>60.13623373759647</v>
      </c>
      <c r="AB129" s="5">
        <f t="shared" si="148"/>
        <v>60.136233737596477</v>
      </c>
      <c r="AC129" s="80">
        <f t="shared" si="149"/>
        <v>205.75964718853362</v>
      </c>
      <c r="AD129" s="5">
        <f t="shared" si="150"/>
        <v>32.828374182184199</v>
      </c>
      <c r="AE129" s="5">
        <f t="shared" si="151"/>
        <v>11.189440000000001</v>
      </c>
      <c r="AF129" s="5">
        <f t="shared" si="152"/>
        <v>13.323699228224916</v>
      </c>
      <c r="AG129" s="7">
        <f t="shared" si="130"/>
        <v>32828.374182184198</v>
      </c>
      <c r="AH129" s="5">
        <f t="shared" si="153"/>
        <v>192.43594796030871</v>
      </c>
      <c r="AI129" s="7">
        <f t="shared" si="154"/>
        <v>60136.233737596471</v>
      </c>
      <c r="AJ129" s="6">
        <f t="shared" si="155"/>
        <v>192.43594796030871</v>
      </c>
      <c r="AK129" s="7">
        <f t="shared" si="168"/>
        <v>6366.0853856977956</v>
      </c>
      <c r="AL129" s="7"/>
      <c r="AM129" s="7"/>
      <c r="AO129" s="18"/>
      <c r="AP129" s="4">
        <f t="shared" si="170"/>
        <v>40720</v>
      </c>
      <c r="AQ129" s="36">
        <v>0.81874999999999998</v>
      </c>
      <c r="AR129">
        <v>4000</v>
      </c>
      <c r="AT129" s="4">
        <v>40721</v>
      </c>
      <c r="AU129" s="36">
        <v>0.38819444444444445</v>
      </c>
      <c r="AV129">
        <v>1800</v>
      </c>
      <c r="AX129" s="45">
        <f t="shared" si="131"/>
        <v>3863.4146341463429</v>
      </c>
      <c r="AY129" s="45">
        <f t="shared" si="132"/>
        <v>0</v>
      </c>
      <c r="AZ129" s="7">
        <f t="shared" si="133"/>
        <v>3863.4146341463429</v>
      </c>
      <c r="BA129" s="18">
        <f t="shared" si="134"/>
        <v>1</v>
      </c>
      <c r="BB129" s="6">
        <f t="shared" si="135"/>
        <v>13.666666666666663</v>
      </c>
      <c r="BI129" s="91"/>
      <c r="BJ129" s="99">
        <v>0</v>
      </c>
      <c r="BK129" s="94">
        <v>40721</v>
      </c>
      <c r="BL129" s="12">
        <v>40721</v>
      </c>
      <c r="BM129" s="72">
        <f t="shared" si="136"/>
        <v>0</v>
      </c>
      <c r="BN129" s="18">
        <f t="shared" si="156"/>
        <v>1</v>
      </c>
      <c r="BO129">
        <f t="shared" si="157"/>
        <v>84</v>
      </c>
      <c r="BP129" s="5">
        <f t="shared" si="173"/>
        <v>0</v>
      </c>
      <c r="BQ129" s="7">
        <f t="shared" si="137"/>
        <v>3876.9230769230771</v>
      </c>
      <c r="BR129" s="7"/>
      <c r="BS129" s="7">
        <f t="shared" si="174"/>
        <v>3876.9230769230771</v>
      </c>
      <c r="BT129">
        <f t="shared" si="172"/>
        <v>3.2</v>
      </c>
      <c r="BU129">
        <f t="shared" si="124"/>
        <v>60</v>
      </c>
      <c r="BV129" s="6">
        <f t="shared" si="138"/>
        <v>232.61538461538461</v>
      </c>
      <c r="BW129" s="6">
        <f t="shared" si="139"/>
        <v>0</v>
      </c>
      <c r="BX129" s="5">
        <f t="shared" si="140"/>
        <v>232.61538461538461</v>
      </c>
      <c r="BY129" s="5">
        <f t="shared" si="141"/>
        <v>72.692307692307693</v>
      </c>
      <c r="BZ129" s="5">
        <f t="shared" si="142"/>
        <v>72.692307692307693</v>
      </c>
      <c r="CA129" s="5">
        <f t="shared" si="143"/>
        <v>232.61538461538461</v>
      </c>
      <c r="CB129" s="7">
        <f t="shared" si="158"/>
        <v>5339.5200458615036</v>
      </c>
      <c r="CC129" s="5">
        <f t="shared" si="159"/>
        <v>1.1463000316263281</v>
      </c>
      <c r="CE129" s="5"/>
      <c r="CO129" s="51"/>
      <c r="CQ129" s="51"/>
      <c r="CR129" s="6"/>
      <c r="CT129" s="4"/>
      <c r="CU129" s="7"/>
      <c r="CX129" s="7"/>
      <c r="DA129" s="5"/>
      <c r="DB129" s="126"/>
      <c r="DC129" s="127"/>
      <c r="DD129" s="129"/>
      <c r="DE129" s="17"/>
      <c r="DF129" s="128"/>
      <c r="DG129" s="128"/>
      <c r="DH129" s="87"/>
      <c r="DI129" s="17"/>
      <c r="DJ129" s="128"/>
      <c r="DK129" s="87"/>
      <c r="DL129" s="17"/>
      <c r="DM129" s="87"/>
      <c r="DN129" s="87"/>
      <c r="DO129" s="87"/>
      <c r="DP129" s="87"/>
      <c r="DQ129" s="17"/>
      <c r="DR129" s="17"/>
      <c r="DU129" s="5"/>
      <c r="DV129" s="7"/>
      <c r="DX129" s="7"/>
      <c r="DY129" s="7"/>
      <c r="DZ129" s="5"/>
    </row>
    <row r="130" spans="2:130">
      <c r="B130" s="7"/>
      <c r="D130" s="4"/>
      <c r="E130" s="39"/>
      <c r="F130" s="48"/>
      <c r="G130" s="4"/>
      <c r="H130" s="7"/>
      <c r="I130" s="48"/>
      <c r="M130" s="76">
        <v>5826.3</v>
      </c>
      <c r="N130" s="104">
        <v>40731</v>
      </c>
      <c r="O130" s="82">
        <v>40731</v>
      </c>
      <c r="P130" s="76">
        <v>5826.3</v>
      </c>
      <c r="Q130" s="24">
        <f t="shared" si="144"/>
        <v>1</v>
      </c>
      <c r="R130" s="21">
        <f t="shared" si="145"/>
        <v>94</v>
      </c>
      <c r="S130" s="39">
        <f t="shared" si="126"/>
        <v>5.8262999999999998</v>
      </c>
      <c r="T130" s="5">
        <f t="shared" si="127"/>
        <v>104.8734</v>
      </c>
      <c r="U130" s="7">
        <f t="shared" si="128"/>
        <v>3772.9257641921395</v>
      </c>
      <c r="V130">
        <f t="shared" si="166"/>
        <v>3.2</v>
      </c>
      <c r="W130" s="77">
        <f t="shared" si="171"/>
        <v>54</v>
      </c>
      <c r="X130" s="6">
        <f t="shared" si="146"/>
        <v>203.73799126637553</v>
      </c>
      <c r="Y130" s="6">
        <f t="shared" si="147"/>
        <v>21.982197379912662</v>
      </c>
      <c r="Z130" s="5">
        <f t="shared" si="167"/>
        <v>181.75579388646287</v>
      </c>
      <c r="AA130" s="5">
        <f t="shared" si="129"/>
        <v>56.798685589519643</v>
      </c>
      <c r="AB130" s="5">
        <f t="shared" si="148"/>
        <v>56.798685589519643</v>
      </c>
      <c r="AC130" s="80">
        <f t="shared" si="149"/>
        <v>203.73799126637553</v>
      </c>
      <c r="AD130" s="5">
        <f t="shared" si="150"/>
        <v>30.823134869739476</v>
      </c>
      <c r="AE130" s="5">
        <f t="shared" si="151"/>
        <v>18.644159999999999</v>
      </c>
      <c r="AF130" s="5">
        <f t="shared" si="152"/>
        <v>21.982197379912666</v>
      </c>
      <c r="AG130" s="7">
        <f t="shared" si="130"/>
        <v>30823.134869739475</v>
      </c>
      <c r="AH130" s="5">
        <f t="shared" si="153"/>
        <v>181.75579388646287</v>
      </c>
      <c r="AI130" s="7">
        <f t="shared" si="154"/>
        <v>56798.685589519642</v>
      </c>
      <c r="AJ130" s="6">
        <f t="shared" si="155"/>
        <v>181.75579388646287</v>
      </c>
      <c r="AK130" s="7">
        <f t="shared" si="168"/>
        <v>6547.8411795842585</v>
      </c>
      <c r="AL130" s="7"/>
      <c r="AM130" s="7"/>
      <c r="AO130" s="18"/>
      <c r="AP130" s="4">
        <f t="shared" si="170"/>
        <v>40721</v>
      </c>
      <c r="AQ130" s="36">
        <v>0.83333333333333337</v>
      </c>
      <c r="AR130">
        <v>4000</v>
      </c>
      <c r="AT130" s="4">
        <v>40722</v>
      </c>
      <c r="AU130" s="36">
        <v>0.375</v>
      </c>
      <c r="AV130">
        <v>1900</v>
      </c>
      <c r="AX130" s="45">
        <f t="shared" si="131"/>
        <v>3876.9230769230771</v>
      </c>
      <c r="AY130" s="45">
        <f t="shared" si="132"/>
        <v>0</v>
      </c>
      <c r="AZ130" s="7">
        <f t="shared" si="133"/>
        <v>3876.9230769230771</v>
      </c>
      <c r="BA130" s="18">
        <f t="shared" si="134"/>
        <v>1</v>
      </c>
      <c r="BB130" s="6">
        <f t="shared" si="135"/>
        <v>13</v>
      </c>
      <c r="BI130" s="91"/>
      <c r="BJ130" s="99">
        <v>0</v>
      </c>
      <c r="BK130" s="94">
        <v>40722</v>
      </c>
      <c r="BL130" s="12">
        <v>40722</v>
      </c>
      <c r="BM130" s="72">
        <f t="shared" si="136"/>
        <v>0</v>
      </c>
      <c r="BN130" s="18">
        <f t="shared" si="156"/>
        <v>1</v>
      </c>
      <c r="BO130">
        <f t="shared" si="157"/>
        <v>85</v>
      </c>
      <c r="BP130" s="5">
        <f t="shared" si="173"/>
        <v>0</v>
      </c>
      <c r="BQ130" s="7">
        <f t="shared" si="137"/>
        <v>3900</v>
      </c>
      <c r="BR130" s="7"/>
      <c r="BS130" s="7">
        <f t="shared" si="174"/>
        <v>3900</v>
      </c>
      <c r="BT130">
        <f t="shared" si="172"/>
        <v>3.2</v>
      </c>
      <c r="BU130">
        <f t="shared" si="124"/>
        <v>60</v>
      </c>
      <c r="BV130" s="6">
        <f t="shared" si="138"/>
        <v>234</v>
      </c>
      <c r="BW130" s="6">
        <f t="shared" si="139"/>
        <v>0</v>
      </c>
      <c r="BX130" s="5">
        <f t="shared" si="140"/>
        <v>234</v>
      </c>
      <c r="BY130" s="5">
        <f t="shared" si="141"/>
        <v>73.125</v>
      </c>
      <c r="BZ130" s="5">
        <f t="shared" si="142"/>
        <v>73.125</v>
      </c>
      <c r="CA130" s="5">
        <f t="shared" si="143"/>
        <v>234</v>
      </c>
      <c r="CB130" s="7">
        <f t="shared" si="158"/>
        <v>5573.5200458615036</v>
      </c>
      <c r="CC130" s="5">
        <f t="shared" si="159"/>
        <v>1.149126978150848</v>
      </c>
      <c r="CE130" s="5"/>
      <c r="CO130" s="51"/>
      <c r="CQ130" s="51"/>
      <c r="CR130" s="6"/>
      <c r="CT130" s="4"/>
      <c r="CU130" s="7"/>
      <c r="CX130" s="7"/>
      <c r="DA130" s="5"/>
      <c r="DB130" s="126"/>
      <c r="DC130" s="127"/>
      <c r="DD130" s="129"/>
      <c r="DE130" s="17"/>
      <c r="DF130" s="128"/>
      <c r="DG130" s="128"/>
      <c r="DH130" s="87"/>
      <c r="DI130" s="17"/>
      <c r="DJ130" s="128"/>
      <c r="DK130" s="87"/>
      <c r="DL130" s="17"/>
      <c r="DM130" s="87"/>
      <c r="DN130" s="87"/>
      <c r="DO130" s="87"/>
      <c r="DP130" s="87"/>
      <c r="DQ130" s="17"/>
      <c r="DR130" s="17"/>
      <c r="DU130" s="5"/>
      <c r="DV130" s="7"/>
      <c r="DX130" s="7"/>
      <c r="DY130" s="7"/>
      <c r="DZ130" s="5"/>
    </row>
    <row r="131" spans="2:130">
      <c r="B131" s="7"/>
      <c r="D131" s="4"/>
      <c r="E131" s="39"/>
      <c r="F131" s="48"/>
      <c r="G131" s="4"/>
      <c r="H131" s="7"/>
      <c r="I131" s="48"/>
      <c r="O131" s="82">
        <v>40732</v>
      </c>
      <c r="P131" s="108">
        <f>+(P130+P132)/2</f>
        <v>5905.4</v>
      </c>
      <c r="Q131" s="24">
        <f t="shared" si="144"/>
        <v>1</v>
      </c>
      <c r="R131" s="21">
        <f t="shared" si="145"/>
        <v>95</v>
      </c>
      <c r="S131" s="39">
        <f t="shared" si="126"/>
        <v>5.9053999999999993</v>
      </c>
      <c r="T131" s="5">
        <f t="shared" si="127"/>
        <v>106.2972</v>
      </c>
      <c r="U131" s="7">
        <f t="shared" si="128"/>
        <v>3848.5523385300667</v>
      </c>
      <c r="V131">
        <f t="shared" si="166"/>
        <v>3.2</v>
      </c>
      <c r="W131" s="77">
        <f t="shared" si="171"/>
        <v>54</v>
      </c>
      <c r="X131" s="6">
        <f t="shared" si="146"/>
        <v>207.82182628062358</v>
      </c>
      <c r="Y131" s="6">
        <f t="shared" si="147"/>
        <v>22.727240979955454</v>
      </c>
      <c r="Z131" s="5">
        <f t="shared" si="167"/>
        <v>185.09458530066814</v>
      </c>
      <c r="AA131" s="5">
        <f t="shared" si="129"/>
        <v>57.842057906458791</v>
      </c>
      <c r="AB131" s="5">
        <f t="shared" si="148"/>
        <v>57.842057906458791</v>
      </c>
      <c r="AC131" s="80">
        <f t="shared" si="149"/>
        <v>207.82182628062358</v>
      </c>
      <c r="AD131" s="5">
        <f t="shared" si="150"/>
        <v>32.129432457027299</v>
      </c>
      <c r="AE131" s="5">
        <f t="shared" si="151"/>
        <v>18.897279999999999</v>
      </c>
      <c r="AF131" s="5">
        <f t="shared" si="152"/>
        <v>22.727240979955454</v>
      </c>
      <c r="AG131" s="7">
        <f t="shared" si="130"/>
        <v>32129.432457027298</v>
      </c>
      <c r="AH131" s="5">
        <f t="shared" si="153"/>
        <v>185.09458530066814</v>
      </c>
      <c r="AI131" s="7">
        <f t="shared" si="154"/>
        <v>57842.057906458795</v>
      </c>
      <c r="AJ131" s="6">
        <f t="shared" si="155"/>
        <v>185.09458530066814</v>
      </c>
      <c r="AK131" s="7">
        <f t="shared" si="168"/>
        <v>6732.9357648849264</v>
      </c>
      <c r="AL131" s="7"/>
      <c r="AM131" s="7"/>
      <c r="AO131" s="18"/>
      <c r="AP131" s="4">
        <f t="shared" si="170"/>
        <v>40722</v>
      </c>
      <c r="AQ131" s="36">
        <v>0.73958333333333337</v>
      </c>
      <c r="AR131">
        <v>4000</v>
      </c>
      <c r="AT131" s="4">
        <v>40723</v>
      </c>
      <c r="AU131" s="36">
        <v>0.40972222222222227</v>
      </c>
      <c r="AX131" s="40">
        <v>3900</v>
      </c>
      <c r="AY131" s="45">
        <f t="shared" si="132"/>
        <v>0</v>
      </c>
      <c r="AZ131" s="7">
        <f t="shared" si="133"/>
        <v>3900</v>
      </c>
      <c r="BA131" s="18">
        <f t="shared" si="134"/>
        <v>1</v>
      </c>
      <c r="BB131" s="6">
        <f t="shared" si="135"/>
        <v>16.083333333333336</v>
      </c>
      <c r="BF131" s="84"/>
      <c r="BI131" s="91"/>
      <c r="BJ131" s="99">
        <v>17.388000000000002</v>
      </c>
      <c r="BK131" s="94">
        <v>40723</v>
      </c>
      <c r="BL131" s="12">
        <v>40723</v>
      </c>
      <c r="BM131" s="72">
        <f t="shared" si="136"/>
        <v>378.00000000000006</v>
      </c>
      <c r="BN131" s="18">
        <f t="shared" si="156"/>
        <v>1</v>
      </c>
      <c r="BO131">
        <f t="shared" si="157"/>
        <v>86</v>
      </c>
      <c r="BP131" s="5">
        <f t="shared" si="173"/>
        <v>17.388000000000002</v>
      </c>
      <c r="BQ131" s="7">
        <f t="shared" si="137"/>
        <v>3900</v>
      </c>
      <c r="BR131" s="7"/>
      <c r="BS131" s="7">
        <f t="shared" si="174"/>
        <v>3900</v>
      </c>
      <c r="BT131">
        <f t="shared" si="172"/>
        <v>3.2</v>
      </c>
      <c r="BU131">
        <f t="shared" si="124"/>
        <v>60</v>
      </c>
      <c r="BV131" s="6">
        <f t="shared" si="138"/>
        <v>234</v>
      </c>
      <c r="BW131" s="6">
        <f t="shared" si="139"/>
        <v>1.4742000000000002</v>
      </c>
      <c r="BX131" s="5">
        <f t="shared" si="140"/>
        <v>232.5258</v>
      </c>
      <c r="BY131" s="5">
        <f t="shared" si="141"/>
        <v>72.664312499999994</v>
      </c>
      <c r="BZ131" s="5">
        <f t="shared" si="142"/>
        <v>72.664312499999994</v>
      </c>
      <c r="CA131" s="5">
        <f t="shared" si="143"/>
        <v>234</v>
      </c>
      <c r="CB131" s="7">
        <f t="shared" si="158"/>
        <v>5807.5200458615036</v>
      </c>
      <c r="CC131" s="5">
        <f t="shared" si="159"/>
        <v>1.1521178746688121</v>
      </c>
      <c r="CO131" s="51"/>
      <c r="CQ131" s="51"/>
      <c r="CR131" s="6"/>
      <c r="CT131" s="4"/>
      <c r="CU131" s="7"/>
      <c r="CX131" s="7"/>
      <c r="DA131" s="5"/>
      <c r="DB131" s="126"/>
      <c r="DC131" s="127"/>
      <c r="DD131" s="129"/>
      <c r="DE131" s="17"/>
      <c r="DF131" s="128"/>
      <c r="DG131" s="128"/>
      <c r="DH131" s="87"/>
      <c r="DI131" s="17"/>
      <c r="DJ131" s="128"/>
      <c r="DK131" s="87"/>
      <c r="DL131" s="17"/>
      <c r="DM131" s="87"/>
      <c r="DN131" s="87"/>
      <c r="DO131" s="87"/>
      <c r="DP131" s="87"/>
      <c r="DQ131" s="17"/>
      <c r="DR131" s="17"/>
      <c r="DU131" s="5"/>
      <c r="DV131" s="7"/>
      <c r="DX131" s="7"/>
      <c r="DY131" s="7"/>
      <c r="DZ131" s="5"/>
    </row>
    <row r="132" spans="2:130">
      <c r="B132" s="7"/>
      <c r="D132" s="4"/>
      <c r="E132" s="39"/>
      <c r="F132" s="48"/>
      <c r="G132" s="4"/>
      <c r="H132" s="7"/>
      <c r="I132" s="48"/>
      <c r="M132" s="76">
        <v>5984.5</v>
      </c>
      <c r="N132" s="104">
        <v>40733</v>
      </c>
      <c r="O132" s="82">
        <v>40733</v>
      </c>
      <c r="P132" s="76">
        <v>5984.5</v>
      </c>
      <c r="Q132" s="24">
        <f t="shared" si="144"/>
        <v>1</v>
      </c>
      <c r="R132" s="21">
        <f t="shared" si="145"/>
        <v>96</v>
      </c>
      <c r="S132" s="39">
        <f t="shared" si="126"/>
        <v>5.9844999999999997</v>
      </c>
      <c r="T132" s="5">
        <f t="shared" si="127"/>
        <v>107.721</v>
      </c>
      <c r="U132" s="7">
        <f t="shared" si="128"/>
        <v>3489.9894625922029</v>
      </c>
      <c r="V132">
        <f t="shared" si="166"/>
        <v>3.2</v>
      </c>
      <c r="W132" s="77">
        <f t="shared" si="171"/>
        <v>54</v>
      </c>
      <c r="X132" s="6">
        <f t="shared" si="146"/>
        <v>188.45943097997898</v>
      </c>
      <c r="Y132" s="6">
        <f t="shared" si="147"/>
        <v>20.88584193888304</v>
      </c>
      <c r="Z132" s="5">
        <f t="shared" si="167"/>
        <v>167.57358904109594</v>
      </c>
      <c r="AA132" s="5">
        <f t="shared" si="129"/>
        <v>52.366746575342482</v>
      </c>
      <c r="AB132" s="5">
        <f t="shared" si="148"/>
        <v>52.366746575342468</v>
      </c>
      <c r="AC132" s="80">
        <f t="shared" si="149"/>
        <v>188.45943097997898</v>
      </c>
      <c r="AD132" s="5">
        <f t="shared" si="150"/>
        <v>30.99507288306452</v>
      </c>
      <c r="AE132" s="5">
        <f t="shared" si="151"/>
        <v>19.150400000000001</v>
      </c>
      <c r="AF132" s="5">
        <f t="shared" si="152"/>
        <v>20.885841938883036</v>
      </c>
      <c r="AG132" s="7">
        <f t="shared" si="130"/>
        <v>30995.07288306452</v>
      </c>
      <c r="AH132" s="5">
        <f t="shared" si="153"/>
        <v>167.57358904109594</v>
      </c>
      <c r="AI132" s="7">
        <f t="shared" si="154"/>
        <v>52366.746575342484</v>
      </c>
      <c r="AJ132" s="6">
        <f t="shared" si="155"/>
        <v>167.57358904109594</v>
      </c>
      <c r="AK132" s="7">
        <f t="shared" si="168"/>
        <v>6900.5093539260224</v>
      </c>
      <c r="AL132" s="7"/>
      <c r="AM132" s="7"/>
      <c r="AO132" s="18"/>
      <c r="AP132" s="4">
        <f t="shared" si="170"/>
        <v>40723</v>
      </c>
      <c r="AQ132" s="36">
        <v>0.55555555555555558</v>
      </c>
      <c r="AR132">
        <f>+AV131</f>
        <v>0</v>
      </c>
      <c r="AT132" s="4">
        <v>40724</v>
      </c>
      <c r="AU132" s="36">
        <v>0.62083333333333335</v>
      </c>
      <c r="AX132" s="40">
        <v>3900</v>
      </c>
      <c r="AY132" s="45">
        <f t="shared" si="132"/>
        <v>0</v>
      </c>
      <c r="AZ132" s="7">
        <f t="shared" si="133"/>
        <v>3900</v>
      </c>
      <c r="BA132" s="18">
        <f t="shared" si="134"/>
        <v>1</v>
      </c>
      <c r="BB132" s="6">
        <f t="shared" si="135"/>
        <v>25.566666666666666</v>
      </c>
      <c r="BF132" s="84"/>
      <c r="BI132" s="91"/>
      <c r="BJ132" s="99">
        <v>0</v>
      </c>
      <c r="BK132" s="94">
        <v>40724</v>
      </c>
      <c r="BL132" s="12">
        <v>40724</v>
      </c>
      <c r="BM132" s="72">
        <f t="shared" si="136"/>
        <v>0</v>
      </c>
      <c r="BN132" s="18">
        <f t="shared" si="156"/>
        <v>1</v>
      </c>
      <c r="BO132">
        <f t="shared" si="157"/>
        <v>87</v>
      </c>
      <c r="BP132" s="5">
        <f t="shared" si="173"/>
        <v>0</v>
      </c>
      <c r="BQ132" s="7">
        <f t="shared" si="137"/>
        <v>3816.8674698795171</v>
      </c>
      <c r="BR132" s="7"/>
      <c r="BS132" s="7">
        <f t="shared" si="174"/>
        <v>3816.8674698795171</v>
      </c>
      <c r="BT132">
        <f t="shared" si="172"/>
        <v>3.2</v>
      </c>
      <c r="BU132">
        <f t="shared" si="124"/>
        <v>60</v>
      </c>
      <c r="BV132" s="6">
        <f t="shared" si="138"/>
        <v>229.01204819277103</v>
      </c>
      <c r="BW132" s="6">
        <f t="shared" si="139"/>
        <v>0</v>
      </c>
      <c r="BX132" s="5">
        <f t="shared" si="140"/>
        <v>229.01204819277103</v>
      </c>
      <c r="BY132" s="5">
        <f t="shared" si="141"/>
        <v>71.566265060240937</v>
      </c>
      <c r="BZ132" s="5">
        <f t="shared" si="142"/>
        <v>71.566265060240937</v>
      </c>
      <c r="CA132" s="5">
        <f t="shared" si="143"/>
        <v>229.01204819277103</v>
      </c>
      <c r="CB132" s="7">
        <f t="shared" si="158"/>
        <v>6036.5320940542742</v>
      </c>
      <c r="CC132" s="5">
        <f t="shared" si="159"/>
        <v>1.1543125209015437</v>
      </c>
      <c r="CO132" s="51"/>
      <c r="CQ132" s="51"/>
      <c r="CR132" s="6"/>
      <c r="CT132" s="4"/>
      <c r="CU132" s="7"/>
      <c r="CX132" s="7"/>
      <c r="DA132" s="5"/>
      <c r="DB132" s="126"/>
      <c r="DC132" s="127"/>
      <c r="DD132" s="129"/>
      <c r="DE132" s="17"/>
      <c r="DF132" s="128"/>
      <c r="DG132" s="128"/>
      <c r="DH132" s="87"/>
      <c r="DI132" s="17"/>
      <c r="DJ132" s="128"/>
      <c r="DK132" s="87"/>
      <c r="DL132" s="17"/>
      <c r="DM132" s="87"/>
      <c r="DN132" s="87"/>
      <c r="DO132" s="87"/>
      <c r="DP132" s="87"/>
      <c r="DQ132" s="17"/>
      <c r="DR132" s="17"/>
      <c r="DU132" s="5"/>
      <c r="DV132" s="7"/>
      <c r="DX132" s="7"/>
      <c r="DY132" s="7"/>
      <c r="DZ132" s="5"/>
    </row>
    <row r="133" spans="2:130">
      <c r="B133" s="7"/>
      <c r="D133" s="4"/>
      <c r="E133" s="39"/>
      <c r="F133" s="48"/>
      <c r="G133" s="4"/>
      <c r="H133" s="7"/>
      <c r="I133" s="48"/>
      <c r="M133" s="76">
        <v>4404.8</v>
      </c>
      <c r="N133" s="104">
        <v>40734</v>
      </c>
      <c r="O133" s="82">
        <v>40734</v>
      </c>
      <c r="P133" s="76">
        <v>4404.8</v>
      </c>
      <c r="Q133" s="24">
        <f t="shared" si="144"/>
        <v>1</v>
      </c>
      <c r="R133" s="21">
        <f t="shared" si="145"/>
        <v>97</v>
      </c>
      <c r="S133" s="39">
        <f t="shared" si="126"/>
        <v>4.4047999999999998</v>
      </c>
      <c r="T133" s="5">
        <f t="shared" si="127"/>
        <v>79.286400000000015</v>
      </c>
      <c r="U133" s="7">
        <f t="shared" si="128"/>
        <v>3469.8795180722886</v>
      </c>
      <c r="V133">
        <f t="shared" si="166"/>
        <v>3.2</v>
      </c>
      <c r="W133" s="77">
        <f t="shared" si="171"/>
        <v>54</v>
      </c>
      <c r="X133" s="6">
        <f t="shared" si="146"/>
        <v>187.37349397590359</v>
      </c>
      <c r="Y133" s="6">
        <f t="shared" si="147"/>
        <v>15.284125301204817</v>
      </c>
      <c r="Z133" s="5">
        <f t="shared" si="167"/>
        <v>172.08936867469876</v>
      </c>
      <c r="AA133" s="5">
        <f t="shared" si="129"/>
        <v>53.777927710843358</v>
      </c>
      <c r="AB133" s="5">
        <f t="shared" si="148"/>
        <v>53.777927710843358</v>
      </c>
      <c r="AC133" s="80">
        <f t="shared" si="149"/>
        <v>187.37349397590359</v>
      </c>
      <c r="AD133" s="5">
        <f t="shared" si="150"/>
        <v>30.963661849710977</v>
      </c>
      <c r="AE133" s="5">
        <f t="shared" si="151"/>
        <v>14.095360000000001</v>
      </c>
      <c r="AF133" s="5">
        <f t="shared" si="152"/>
        <v>15.284125301204819</v>
      </c>
      <c r="AG133" s="7">
        <f t="shared" si="130"/>
        <v>30963.661849710978</v>
      </c>
      <c r="AH133" s="5">
        <f t="shared" si="153"/>
        <v>172.08936867469876</v>
      </c>
      <c r="AI133" s="7">
        <f t="shared" si="154"/>
        <v>53777.92771084336</v>
      </c>
      <c r="AJ133" s="6">
        <f t="shared" si="155"/>
        <v>172.08936867469876</v>
      </c>
      <c r="AK133" s="7">
        <f t="shared" si="168"/>
        <v>7072.598722600721</v>
      </c>
      <c r="AL133" s="5"/>
      <c r="AM133" s="5"/>
      <c r="AO133" s="18"/>
      <c r="AP133" s="4">
        <f t="shared" si="170"/>
        <v>40724</v>
      </c>
      <c r="AQ133" s="36">
        <v>0.83333333333333337</v>
      </c>
      <c r="AR133">
        <v>3900</v>
      </c>
      <c r="AT133" s="4">
        <v>40725</v>
      </c>
      <c r="AU133" s="36">
        <v>0.40972222222222227</v>
      </c>
      <c r="AV133">
        <v>1700</v>
      </c>
      <c r="AX133" s="45">
        <f>+(AR133-AV133)/BB133*24</f>
        <v>3816.8674698795171</v>
      </c>
      <c r="AY133" s="45">
        <f t="shared" si="132"/>
        <v>0</v>
      </c>
      <c r="AZ133" s="7">
        <f t="shared" si="133"/>
        <v>3816.8674698795171</v>
      </c>
      <c r="BA133" s="18">
        <f t="shared" si="134"/>
        <v>1</v>
      </c>
      <c r="BB133" s="6">
        <f t="shared" si="135"/>
        <v>13.833333333333336</v>
      </c>
      <c r="BI133" s="91"/>
      <c r="BJ133" s="99">
        <v>36.018000000000001</v>
      </c>
      <c r="BK133" s="94">
        <v>40725</v>
      </c>
      <c r="BL133" s="12">
        <v>40725</v>
      </c>
      <c r="BM133" s="72">
        <f t="shared" si="136"/>
        <v>783</v>
      </c>
      <c r="BN133" s="18">
        <f t="shared" si="156"/>
        <v>1</v>
      </c>
      <c r="BO133">
        <f t="shared" si="157"/>
        <v>88</v>
      </c>
      <c r="BP133" s="5">
        <f t="shared" si="173"/>
        <v>36.018000000000001</v>
      </c>
      <c r="BQ133" s="7">
        <f t="shared" si="137"/>
        <v>3900</v>
      </c>
      <c r="BR133" s="7"/>
      <c r="BS133" s="7">
        <f t="shared" si="174"/>
        <v>3900</v>
      </c>
      <c r="BT133">
        <f t="shared" si="172"/>
        <v>3.2</v>
      </c>
      <c r="BU133">
        <f t="shared" si="124"/>
        <v>60</v>
      </c>
      <c r="BV133" s="6">
        <f t="shared" si="138"/>
        <v>234</v>
      </c>
      <c r="BW133" s="6">
        <f t="shared" si="139"/>
        <v>3.0537000000000001</v>
      </c>
      <c r="BX133" s="5">
        <f t="shared" si="140"/>
        <v>230.94630000000001</v>
      </c>
      <c r="BY133" s="5">
        <f t="shared" si="141"/>
        <v>72.170718749999992</v>
      </c>
      <c r="BZ133" s="5">
        <f t="shared" si="142"/>
        <v>72.170718749999992</v>
      </c>
      <c r="CA133" s="5">
        <f t="shared" si="143"/>
        <v>234</v>
      </c>
      <c r="CB133" s="7">
        <f t="shared" si="158"/>
        <v>6270.5320940542742</v>
      </c>
      <c r="CC133" s="5">
        <f t="shared" si="159"/>
        <v>1.1565076457573806</v>
      </c>
      <c r="CO133" s="51"/>
      <c r="CQ133" s="51"/>
      <c r="CR133" s="6"/>
      <c r="CT133" s="4"/>
      <c r="CU133" s="7"/>
      <c r="CX133" s="7"/>
      <c r="DA133" s="5"/>
      <c r="DB133" s="126"/>
      <c r="DC133" s="127"/>
      <c r="DD133" s="129"/>
      <c r="DE133" s="17"/>
      <c r="DF133" s="128"/>
      <c r="DG133" s="128"/>
      <c r="DH133" s="87"/>
      <c r="DI133" s="17"/>
      <c r="DJ133" s="128"/>
      <c r="DK133" s="87"/>
      <c r="DL133" s="17"/>
      <c r="DM133" s="87"/>
      <c r="DN133" s="87"/>
      <c r="DO133" s="87"/>
      <c r="DP133" s="87"/>
      <c r="DQ133" s="17"/>
      <c r="DR133" s="17"/>
      <c r="DU133" s="5"/>
      <c r="DV133" s="7"/>
      <c r="DX133" s="7"/>
      <c r="DY133" s="7"/>
      <c r="DZ133" s="5"/>
    </row>
    <row r="134" spans="2:130">
      <c r="B134" s="7"/>
      <c r="D134" s="4"/>
      <c r="E134" s="39"/>
      <c r="F134" s="48"/>
      <c r="G134" s="4"/>
      <c r="H134" s="7"/>
      <c r="I134" s="48"/>
      <c r="J134" s="4"/>
      <c r="K134" s="7"/>
      <c r="L134" s="54"/>
      <c r="M134" s="76">
        <v>3622.8</v>
      </c>
      <c r="N134" s="104">
        <v>40741</v>
      </c>
      <c r="O134" s="82">
        <v>40741</v>
      </c>
      <c r="P134" s="76">
        <v>3622.8</v>
      </c>
      <c r="Q134" s="24">
        <f t="shared" si="144"/>
        <v>7</v>
      </c>
      <c r="R134" s="21">
        <f t="shared" si="145"/>
        <v>104</v>
      </c>
      <c r="S134" s="39">
        <f t="shared" si="126"/>
        <v>3.6228000000000002</v>
      </c>
      <c r="T134" s="5">
        <f t="shared" si="127"/>
        <v>65.210400000000007</v>
      </c>
      <c r="U134" s="7">
        <f t="shared" si="128"/>
        <v>3215.8808933002488</v>
      </c>
      <c r="V134">
        <f t="shared" si="166"/>
        <v>3.2</v>
      </c>
      <c r="W134" s="77">
        <f t="shared" si="171"/>
        <v>54</v>
      </c>
      <c r="X134" s="6">
        <f t="shared" si="146"/>
        <v>173.65756823821343</v>
      </c>
      <c r="Y134" s="6">
        <f t="shared" si="147"/>
        <v>11.650493300248142</v>
      </c>
      <c r="Z134" s="5">
        <f t="shared" si="167"/>
        <v>162.00707493796529</v>
      </c>
      <c r="AA134" s="5">
        <f t="shared" si="129"/>
        <v>50.627210918114152</v>
      </c>
      <c r="AB134" s="5">
        <f t="shared" si="148"/>
        <v>50.627210918114152</v>
      </c>
      <c r="AC134" s="80">
        <f t="shared" si="149"/>
        <v>173.65756823821343</v>
      </c>
      <c r="AD134" s="5">
        <f t="shared" si="150"/>
        <v>29.263780198019802</v>
      </c>
      <c r="AE134" s="5">
        <f t="shared" si="151"/>
        <v>11.592960000000001</v>
      </c>
      <c r="AF134" s="5">
        <f t="shared" si="152"/>
        <v>11.650493300248142</v>
      </c>
      <c r="AG134" s="7">
        <f t="shared" si="130"/>
        <v>29263.780198019802</v>
      </c>
      <c r="AH134" s="5">
        <f t="shared" si="153"/>
        <v>162.00707493796529</v>
      </c>
      <c r="AI134" s="7">
        <f t="shared" si="154"/>
        <v>50627.21091811415</v>
      </c>
      <c r="AJ134" s="6">
        <f t="shared" si="155"/>
        <v>1134.0495245657571</v>
      </c>
      <c r="AK134" s="7">
        <f t="shared" si="168"/>
        <v>8206.6482471664785</v>
      </c>
      <c r="AL134" s="7"/>
      <c r="AM134" s="7"/>
      <c r="AO134" s="18"/>
      <c r="AP134" s="4">
        <f t="shared" si="170"/>
        <v>40725</v>
      </c>
      <c r="AQ134" s="36">
        <f>+AU133</f>
        <v>0.40972222222222227</v>
      </c>
      <c r="AR134">
        <f>+AV133</f>
        <v>1700</v>
      </c>
      <c r="AT134" s="4">
        <v>40726</v>
      </c>
      <c r="AU134" s="36">
        <v>0.71875</v>
      </c>
      <c r="AX134" s="40">
        <v>3900</v>
      </c>
      <c r="AY134" s="45">
        <f t="shared" si="132"/>
        <v>0</v>
      </c>
      <c r="AZ134" s="7">
        <f t="shared" si="133"/>
        <v>3900</v>
      </c>
      <c r="BA134" s="18">
        <f t="shared" si="134"/>
        <v>1</v>
      </c>
      <c r="BB134" s="6">
        <f t="shared" si="135"/>
        <v>31.416666666666668</v>
      </c>
      <c r="BI134" s="91"/>
      <c r="BJ134" s="99">
        <v>0</v>
      </c>
      <c r="BK134" s="94">
        <v>40726</v>
      </c>
      <c r="BL134" s="12">
        <v>40726</v>
      </c>
      <c r="BM134" s="72">
        <f t="shared" si="136"/>
        <v>0</v>
      </c>
      <c r="BN134" s="18">
        <f t="shared" si="156"/>
        <v>1</v>
      </c>
      <c r="BO134">
        <f t="shared" si="157"/>
        <v>89</v>
      </c>
      <c r="BP134" s="5">
        <f t="shared" si="173"/>
        <v>0</v>
      </c>
      <c r="BQ134" s="7">
        <f t="shared" si="137"/>
        <v>4087.7419354838712</v>
      </c>
      <c r="BR134" s="7"/>
      <c r="BS134" s="7">
        <f t="shared" si="174"/>
        <v>4087.7419354838712</v>
      </c>
      <c r="BT134">
        <f t="shared" si="172"/>
        <v>3.2</v>
      </c>
      <c r="BU134">
        <f t="shared" si="124"/>
        <v>60</v>
      </c>
      <c r="BV134" s="6">
        <f t="shared" si="138"/>
        <v>245.26451612903227</v>
      </c>
      <c r="BW134" s="6">
        <f t="shared" si="139"/>
        <v>0</v>
      </c>
      <c r="BX134" s="5">
        <f t="shared" si="140"/>
        <v>245.26451612903227</v>
      </c>
      <c r="BY134" s="5">
        <f t="shared" si="141"/>
        <v>76.645161290322577</v>
      </c>
      <c r="BZ134" s="5">
        <f t="shared" si="142"/>
        <v>76.645161290322577</v>
      </c>
      <c r="CA134" s="5">
        <f t="shared" si="143"/>
        <v>245.26451612903227</v>
      </c>
      <c r="CB134" s="7">
        <f t="shared" si="158"/>
        <v>6515.7966101833063</v>
      </c>
      <c r="CC134" s="5">
        <f t="shared" si="159"/>
        <v>1.1587080232761584</v>
      </c>
      <c r="CO134" s="51"/>
      <c r="CQ134" s="51"/>
      <c r="CR134" s="6"/>
      <c r="CT134" s="4"/>
      <c r="CU134" s="7"/>
      <c r="CX134" s="7"/>
      <c r="DA134" s="5"/>
      <c r="DB134" s="126"/>
      <c r="DC134" s="127"/>
      <c r="DD134" s="129"/>
      <c r="DE134" s="17"/>
      <c r="DF134" s="128"/>
      <c r="DG134" s="128"/>
      <c r="DH134" s="87"/>
      <c r="DI134" s="17"/>
      <c r="DJ134" s="128"/>
      <c r="DK134" s="87"/>
      <c r="DL134" s="17"/>
      <c r="DM134" s="87"/>
      <c r="DN134" s="87"/>
      <c r="DO134" s="87"/>
      <c r="DP134" s="87"/>
      <c r="DQ134" s="17"/>
      <c r="DR134" s="17"/>
      <c r="DU134" s="5"/>
      <c r="DV134" s="7"/>
      <c r="DX134" s="7"/>
      <c r="DY134" s="7"/>
      <c r="DZ134" s="5"/>
    </row>
    <row r="135" spans="2:130">
      <c r="B135" s="7"/>
      <c r="D135" s="4"/>
      <c r="E135" s="39"/>
      <c r="F135" s="48"/>
      <c r="G135" s="4"/>
      <c r="H135" s="7"/>
      <c r="I135" s="48"/>
      <c r="J135" s="4"/>
      <c r="K135" s="7"/>
      <c r="L135" s="54"/>
      <c r="M135" s="76">
        <v>3915</v>
      </c>
      <c r="N135" s="104">
        <v>40742</v>
      </c>
      <c r="O135" s="82">
        <v>40742</v>
      </c>
      <c r="P135" s="76">
        <v>3915</v>
      </c>
      <c r="Q135" s="24">
        <f t="shared" si="144"/>
        <v>1</v>
      </c>
      <c r="R135" s="21">
        <f t="shared" si="145"/>
        <v>105</v>
      </c>
      <c r="S135" s="39">
        <f t="shared" si="126"/>
        <v>3.915</v>
      </c>
      <c r="T135" s="5">
        <f t="shared" si="127"/>
        <v>70.47</v>
      </c>
      <c r="U135" s="7">
        <f t="shared" si="128"/>
        <v>3686.2745098039222</v>
      </c>
      <c r="V135">
        <f t="shared" si="166"/>
        <v>3.2</v>
      </c>
      <c r="W135" s="77">
        <f t="shared" si="171"/>
        <v>54</v>
      </c>
      <c r="X135" s="6">
        <f t="shared" si="146"/>
        <v>199.0588235294118</v>
      </c>
      <c r="Y135" s="6">
        <f t="shared" si="147"/>
        <v>14.431764705882356</v>
      </c>
      <c r="Z135" s="5">
        <f t="shared" si="167"/>
        <v>184.62705882352944</v>
      </c>
      <c r="AA135" s="5">
        <f t="shared" si="129"/>
        <v>57.695955882352948</v>
      </c>
      <c r="AB135" s="5">
        <f t="shared" si="148"/>
        <v>57.695955882352955</v>
      </c>
      <c r="AC135" s="80">
        <f t="shared" si="149"/>
        <v>199.0588235294118</v>
      </c>
      <c r="AD135" s="5">
        <f t="shared" si="150"/>
        <v>30.590093849658317</v>
      </c>
      <c r="AE135" s="5">
        <f t="shared" si="151"/>
        <v>12.528</v>
      </c>
      <c r="AF135" s="5">
        <f t="shared" si="152"/>
        <v>14.431764705882355</v>
      </c>
      <c r="AG135" s="7">
        <f t="shared" si="130"/>
        <v>30590.093849658315</v>
      </c>
      <c r="AH135" s="5">
        <f t="shared" si="153"/>
        <v>184.62705882352944</v>
      </c>
      <c r="AI135" s="7">
        <f t="shared" si="154"/>
        <v>57695.955882352944</v>
      </c>
      <c r="AJ135" s="6">
        <f t="shared" si="155"/>
        <v>184.62705882352944</v>
      </c>
      <c r="AK135" s="7">
        <f t="shared" si="168"/>
        <v>8391.2753059900078</v>
      </c>
      <c r="AL135" s="7"/>
      <c r="AM135" s="7"/>
      <c r="AO135" s="18"/>
      <c r="AP135" s="4">
        <f t="shared" si="170"/>
        <v>40726</v>
      </c>
      <c r="AQ135" s="36">
        <v>0.94097222222222221</v>
      </c>
      <c r="AR135">
        <v>4000</v>
      </c>
      <c r="AT135" s="4">
        <v>40727</v>
      </c>
      <c r="AU135" s="36">
        <v>0.47916666666666669</v>
      </c>
      <c r="AV135">
        <v>1800</v>
      </c>
      <c r="AX135" s="45">
        <f t="shared" ref="AX135:AX166" si="175">+(AR135-AV135)/BB135*24</f>
        <v>4087.7419354838712</v>
      </c>
      <c r="AY135" s="45">
        <f t="shared" si="132"/>
        <v>0</v>
      </c>
      <c r="AZ135" s="7">
        <f t="shared" si="133"/>
        <v>4087.7419354838712</v>
      </c>
      <c r="BA135" s="18">
        <f t="shared" si="134"/>
        <v>1</v>
      </c>
      <c r="BB135" s="6">
        <f t="shared" si="135"/>
        <v>12.916666666666666</v>
      </c>
      <c r="BI135" s="91"/>
      <c r="BJ135" s="27"/>
      <c r="BK135" s="21"/>
      <c r="BL135" s="12">
        <v>40727</v>
      </c>
      <c r="BM135" s="72">
        <f t="shared" si="136"/>
        <v>0</v>
      </c>
      <c r="BN135" s="18">
        <f t="shared" si="156"/>
        <v>1</v>
      </c>
      <c r="BO135">
        <f t="shared" si="157"/>
        <v>90</v>
      </c>
      <c r="BP135" s="5">
        <v>0</v>
      </c>
      <c r="BQ135" s="7">
        <f t="shared" si="137"/>
        <v>4047.5675675675684</v>
      </c>
      <c r="BR135" s="7"/>
      <c r="BS135" s="7">
        <f t="shared" si="174"/>
        <v>4047.5675675675684</v>
      </c>
      <c r="BT135">
        <f t="shared" si="172"/>
        <v>3.2</v>
      </c>
      <c r="BU135">
        <f t="shared" si="124"/>
        <v>60</v>
      </c>
      <c r="BV135" s="6">
        <f t="shared" si="138"/>
        <v>242.8540540540541</v>
      </c>
      <c r="BW135" s="6">
        <f t="shared" si="139"/>
        <v>0</v>
      </c>
      <c r="BX135" s="5">
        <f t="shared" si="140"/>
        <v>242.8540540540541</v>
      </c>
      <c r="BY135" s="5">
        <f t="shared" si="141"/>
        <v>75.891891891891902</v>
      </c>
      <c r="BZ135" s="5">
        <f t="shared" si="142"/>
        <v>75.891891891891902</v>
      </c>
      <c r="CA135" s="5">
        <f t="shared" si="143"/>
        <v>242.8540540540541</v>
      </c>
      <c r="CB135" s="7">
        <f t="shared" si="158"/>
        <v>6758.6506642373606</v>
      </c>
      <c r="CC135" s="5">
        <f t="shared" si="159"/>
        <v>1.1617421934576222</v>
      </c>
      <c r="CO135" s="51"/>
      <c r="CQ135" s="51"/>
      <c r="CR135" s="6"/>
      <c r="CT135" s="4"/>
      <c r="CU135" s="7"/>
      <c r="CX135" s="7"/>
      <c r="DB135" s="17"/>
      <c r="DC135" s="127"/>
      <c r="DD135" s="129"/>
      <c r="DE135" s="17"/>
      <c r="DF135" s="128"/>
      <c r="DG135" s="128"/>
      <c r="DH135" s="87"/>
      <c r="DI135" s="17"/>
      <c r="DJ135" s="128"/>
      <c r="DK135" s="87"/>
      <c r="DL135" s="17"/>
      <c r="DM135" s="87"/>
      <c r="DN135" s="87"/>
      <c r="DO135" s="87"/>
      <c r="DP135" s="87"/>
      <c r="DQ135" s="17"/>
      <c r="DR135" s="17"/>
      <c r="DU135" s="5"/>
      <c r="DV135" s="7"/>
      <c r="DX135" s="7"/>
      <c r="DY135" s="7"/>
      <c r="DZ135" s="5"/>
    </row>
    <row r="136" spans="2:130">
      <c r="B136" s="7"/>
      <c r="C136" s="35"/>
      <c r="D136" s="4"/>
      <c r="E136" s="39"/>
      <c r="F136" s="48"/>
      <c r="G136" s="4"/>
      <c r="H136" s="7"/>
      <c r="I136" s="48"/>
      <c r="J136" s="4"/>
      <c r="K136" s="7"/>
      <c r="L136" s="54"/>
      <c r="M136" s="76">
        <v>5326.2</v>
      </c>
      <c r="N136" s="104">
        <v>40743</v>
      </c>
      <c r="O136" s="82">
        <v>40743</v>
      </c>
      <c r="P136" s="76">
        <v>5326.2</v>
      </c>
      <c r="Q136" s="24">
        <f t="shared" si="144"/>
        <v>1</v>
      </c>
      <c r="R136" s="21">
        <f t="shared" si="145"/>
        <v>106</v>
      </c>
      <c r="S136" s="39">
        <f t="shared" si="126"/>
        <v>5.3262</v>
      </c>
      <c r="T136" s="5">
        <f t="shared" si="127"/>
        <v>95.871599999999987</v>
      </c>
      <c r="U136" s="7">
        <f t="shared" si="128"/>
        <v>3692.3076923076924</v>
      </c>
      <c r="V136">
        <f t="shared" si="166"/>
        <v>3.2</v>
      </c>
      <c r="W136" s="77">
        <f t="shared" si="171"/>
        <v>54</v>
      </c>
      <c r="X136" s="6">
        <f t="shared" si="146"/>
        <v>199.38461538461539</v>
      </c>
      <c r="Y136" s="6">
        <f t="shared" si="147"/>
        <v>19.665969230769232</v>
      </c>
      <c r="Z136" s="5">
        <f t="shared" si="167"/>
        <v>179.71864615384615</v>
      </c>
      <c r="AA136" s="5">
        <f t="shared" si="129"/>
        <v>56.162076923076917</v>
      </c>
      <c r="AB136" s="5">
        <f t="shared" si="148"/>
        <v>56.162076923076917</v>
      </c>
      <c r="AC136" s="80">
        <f t="shared" si="149"/>
        <v>199.38461538461539</v>
      </c>
      <c r="AD136" s="5">
        <f t="shared" si="150"/>
        <v>30.746249999999996</v>
      </c>
      <c r="AE136" s="5">
        <f t="shared" si="151"/>
        <v>17.043839999999999</v>
      </c>
      <c r="AF136" s="5">
        <f t="shared" si="152"/>
        <v>19.665969230769232</v>
      </c>
      <c r="AG136" s="7">
        <f t="shared" si="130"/>
        <v>30746.249999999996</v>
      </c>
      <c r="AH136" s="5">
        <f t="shared" si="153"/>
        <v>179.71864615384615</v>
      </c>
      <c r="AI136" s="7">
        <f t="shared" si="154"/>
        <v>56162.076923076915</v>
      </c>
      <c r="AJ136" s="6">
        <f t="shared" si="155"/>
        <v>179.71864615384615</v>
      </c>
      <c r="AK136" s="7">
        <f t="shared" si="168"/>
        <v>8570.9939521438537</v>
      </c>
      <c r="AL136" s="7"/>
      <c r="AM136" s="7"/>
      <c r="AO136" s="18"/>
      <c r="AP136" s="4">
        <f t="shared" si="170"/>
        <v>40727</v>
      </c>
      <c r="AQ136" s="36">
        <v>0.79166666666666663</v>
      </c>
      <c r="AR136">
        <v>4000</v>
      </c>
      <c r="AT136" s="4">
        <v>40728</v>
      </c>
      <c r="AU136" s="36">
        <v>0.43402777777777773</v>
      </c>
      <c r="AV136">
        <v>1400</v>
      </c>
      <c r="AX136" s="45">
        <f t="shared" si="175"/>
        <v>4047.5675675675684</v>
      </c>
      <c r="AY136" s="45">
        <f t="shared" si="132"/>
        <v>0</v>
      </c>
      <c r="AZ136" s="7">
        <f t="shared" si="133"/>
        <v>4047.5675675675684</v>
      </c>
      <c r="BA136" s="18">
        <f t="shared" si="134"/>
        <v>1</v>
      </c>
      <c r="BB136" s="6">
        <f t="shared" si="135"/>
        <v>15.416666666666664</v>
      </c>
      <c r="BI136" s="91"/>
      <c r="BJ136" s="99">
        <v>0</v>
      </c>
      <c r="BK136" s="94">
        <v>40728</v>
      </c>
      <c r="BL136" s="12">
        <v>40728</v>
      </c>
      <c r="BM136" s="72">
        <f t="shared" si="136"/>
        <v>0</v>
      </c>
      <c r="BN136" s="18">
        <f t="shared" si="156"/>
        <v>1</v>
      </c>
      <c r="BO136">
        <f t="shared" si="157"/>
        <v>91</v>
      </c>
      <c r="BP136" s="5">
        <v>0</v>
      </c>
      <c r="BQ136" s="7">
        <f t="shared" si="137"/>
        <v>3860.5898123324387</v>
      </c>
      <c r="BR136" s="7"/>
      <c r="BS136" s="7">
        <f t="shared" si="174"/>
        <v>3860.5898123324387</v>
      </c>
      <c r="BT136">
        <f t="shared" si="172"/>
        <v>3.2</v>
      </c>
      <c r="BU136">
        <f t="shared" si="124"/>
        <v>60</v>
      </c>
      <c r="BV136" s="6">
        <f t="shared" si="138"/>
        <v>231.63538873994634</v>
      </c>
      <c r="BW136" s="6">
        <f t="shared" si="139"/>
        <v>0</v>
      </c>
      <c r="BX136" s="5">
        <f t="shared" si="140"/>
        <v>231.63538873994634</v>
      </c>
      <c r="BY136" s="5">
        <f t="shared" si="141"/>
        <v>72.386058981233219</v>
      </c>
      <c r="BZ136" s="5">
        <f t="shared" si="142"/>
        <v>72.386058981233219</v>
      </c>
      <c r="CB136" s="112">
        <f>SUM(CA49:CA135)</f>
        <v>6757.4506642373599</v>
      </c>
      <c r="CC136" s="5">
        <f t="shared" si="159"/>
        <v>1.1615359258605222</v>
      </c>
      <c r="CO136" s="51"/>
      <c r="CQ136" s="51"/>
      <c r="CR136" s="6"/>
      <c r="CT136" s="4"/>
      <c r="CU136" s="7"/>
      <c r="CX136" s="7"/>
      <c r="DB136" s="17"/>
      <c r="DC136" s="127"/>
      <c r="DD136" s="129"/>
      <c r="DE136" s="17"/>
      <c r="DF136" s="128"/>
      <c r="DG136" s="128"/>
      <c r="DH136" s="87"/>
      <c r="DI136" s="17"/>
      <c r="DJ136" s="128"/>
      <c r="DK136" s="87"/>
      <c r="DL136" s="17"/>
      <c r="DM136" s="87"/>
      <c r="DN136" s="87"/>
      <c r="DO136" s="87"/>
      <c r="DP136" s="87"/>
      <c r="DQ136" s="17"/>
      <c r="DR136" s="17"/>
      <c r="DU136" s="5"/>
      <c r="DV136" s="7"/>
      <c r="DX136" s="7"/>
      <c r="DY136" s="7"/>
      <c r="DZ136" s="5"/>
    </row>
    <row r="137" spans="2:130">
      <c r="B137" s="7"/>
      <c r="C137" s="35"/>
      <c r="D137" s="4"/>
      <c r="E137" s="39"/>
      <c r="F137" s="48"/>
      <c r="G137" s="4"/>
      <c r="H137" s="7"/>
      <c r="I137" s="48"/>
      <c r="J137" s="4"/>
      <c r="K137" s="7"/>
      <c r="L137" s="54"/>
      <c r="AL137" s="7"/>
      <c r="AM137" s="7"/>
      <c r="AO137" s="18"/>
      <c r="AP137" s="4">
        <f t="shared" si="170"/>
        <v>40728</v>
      </c>
      <c r="AQ137" s="36">
        <v>0.82291666666666663</v>
      </c>
      <c r="AR137">
        <v>4000</v>
      </c>
      <c r="AT137" s="4">
        <v>40729</v>
      </c>
      <c r="AU137" s="36">
        <v>0.34097222222222223</v>
      </c>
      <c r="AV137">
        <v>2000</v>
      </c>
      <c r="AX137" s="45">
        <f t="shared" si="175"/>
        <v>3860.5898123324387</v>
      </c>
      <c r="AY137" s="45">
        <f t="shared" si="132"/>
        <v>0</v>
      </c>
      <c r="AZ137" s="7">
        <f t="shared" si="133"/>
        <v>3860.5898123324387</v>
      </c>
      <c r="BA137" s="18">
        <f t="shared" si="134"/>
        <v>1</v>
      </c>
      <c r="BB137" s="6">
        <f t="shared" si="135"/>
        <v>12.433333333333337</v>
      </c>
      <c r="BI137" s="6"/>
      <c r="BJ137" s="99">
        <v>0.50600000000000001</v>
      </c>
      <c r="BK137" s="94">
        <v>40729</v>
      </c>
      <c r="BL137" s="12">
        <v>40729</v>
      </c>
      <c r="BM137" s="72">
        <f t="shared" si="136"/>
        <v>11</v>
      </c>
      <c r="BN137" s="18">
        <f t="shared" si="156"/>
        <v>1</v>
      </c>
      <c r="BO137">
        <f t="shared" si="157"/>
        <v>92</v>
      </c>
      <c r="BP137" s="5">
        <f t="shared" ref="BP137:BP142" si="176">+BJ137</f>
        <v>0.50600000000000001</v>
      </c>
      <c r="BQ137" s="7">
        <f t="shared" si="137"/>
        <v>3781.5126050420167</v>
      </c>
      <c r="BR137" s="7"/>
      <c r="BS137" s="7">
        <f t="shared" si="174"/>
        <v>3781.5126050420167</v>
      </c>
      <c r="BT137">
        <f t="shared" si="172"/>
        <v>3.2</v>
      </c>
      <c r="BU137">
        <f t="shared" si="124"/>
        <v>60</v>
      </c>
      <c r="BV137" s="6">
        <f t="shared" si="138"/>
        <v>226.890756302521</v>
      </c>
      <c r="BW137" s="6">
        <f t="shared" si="139"/>
        <v>4.1596638655462183E-2</v>
      </c>
      <c r="BX137" s="5">
        <f t="shared" si="140"/>
        <v>226.84915966386555</v>
      </c>
      <c r="BY137" s="5">
        <f t="shared" si="141"/>
        <v>70.890362394957975</v>
      </c>
      <c r="BZ137" s="5">
        <f t="shared" si="142"/>
        <v>70.890362394957975</v>
      </c>
      <c r="CA137" s="50"/>
      <c r="CB137" s="7">
        <f>+CB136*46</f>
        <v>310842.73055491853</v>
      </c>
      <c r="CC137" s="5" t="s">
        <v>137</v>
      </c>
      <c r="CO137" s="6"/>
      <c r="CQ137" s="6"/>
      <c r="CR137" s="6"/>
      <c r="CT137" s="12"/>
      <c r="CU137" s="7"/>
      <c r="CX137" s="7"/>
      <c r="CZ137" s="21"/>
      <c r="DA137" s="21"/>
      <c r="DB137" s="17"/>
      <c r="DC137" s="127"/>
      <c r="DD137" s="129"/>
      <c r="DE137" s="17"/>
      <c r="DF137" s="128"/>
      <c r="DG137" s="128"/>
      <c r="DH137" s="87"/>
      <c r="DI137" s="17"/>
      <c r="DJ137" s="128"/>
      <c r="DK137" s="87"/>
      <c r="DL137" s="17"/>
      <c r="DM137" s="87"/>
      <c r="DN137" s="87"/>
      <c r="DO137" s="87"/>
      <c r="DP137" s="87"/>
      <c r="DQ137" s="17"/>
      <c r="DR137" s="17"/>
      <c r="DU137" s="5"/>
      <c r="DV137" s="7"/>
      <c r="DX137" s="7"/>
      <c r="DY137" s="7"/>
      <c r="DZ137" s="5"/>
    </row>
    <row r="138" spans="2:130">
      <c r="B138" s="7"/>
      <c r="C138" s="35"/>
      <c r="D138" s="4"/>
      <c r="E138" s="39"/>
      <c r="F138" s="48"/>
      <c r="G138" s="4"/>
      <c r="H138" s="7"/>
      <c r="I138" s="48"/>
      <c r="AL138" s="7"/>
      <c r="AM138" s="7"/>
      <c r="AO138" s="18"/>
      <c r="AP138" s="4">
        <f t="shared" si="170"/>
        <v>40729</v>
      </c>
      <c r="AQ138" s="36">
        <v>0.72361111111111109</v>
      </c>
      <c r="AR138">
        <v>4000</v>
      </c>
      <c r="AT138" s="4">
        <v>40730</v>
      </c>
      <c r="AU138" s="36">
        <v>0.38472222222222219</v>
      </c>
      <c r="AV138">
        <v>1500</v>
      </c>
      <c r="AX138" s="45">
        <f t="shared" si="175"/>
        <v>3781.5126050420167</v>
      </c>
      <c r="AY138" s="45">
        <f t="shared" si="132"/>
        <v>0</v>
      </c>
      <c r="AZ138" s="7">
        <f t="shared" si="133"/>
        <v>3781.5126050420167</v>
      </c>
      <c r="BA138" s="18">
        <f t="shared" si="134"/>
        <v>1</v>
      </c>
      <c r="BB138" s="6">
        <f t="shared" si="135"/>
        <v>15.866666666666667</v>
      </c>
      <c r="BI138" s="6"/>
      <c r="BJ138" s="99">
        <v>0</v>
      </c>
      <c r="BK138" s="94">
        <v>40730</v>
      </c>
      <c r="BL138" s="12">
        <v>40730</v>
      </c>
      <c r="BM138" s="72"/>
      <c r="BN138" s="18">
        <f t="shared" si="156"/>
        <v>1</v>
      </c>
      <c r="BO138">
        <f t="shared" si="157"/>
        <v>93</v>
      </c>
      <c r="BP138" s="5">
        <f t="shared" si="176"/>
        <v>0</v>
      </c>
      <c r="BQ138" s="7">
        <f t="shared" si="137"/>
        <v>3810.3638368246966</v>
      </c>
      <c r="BR138" s="7"/>
      <c r="BS138" s="7">
        <f t="shared" si="174"/>
        <v>3810.3638368246966</v>
      </c>
      <c r="BT138">
        <f t="shared" si="172"/>
        <v>3.2</v>
      </c>
      <c r="BU138">
        <f t="shared" si="124"/>
        <v>60</v>
      </c>
      <c r="BV138" s="6">
        <f t="shared" si="138"/>
        <v>228.6218302094818</v>
      </c>
      <c r="BW138" s="6">
        <f t="shared" si="139"/>
        <v>0</v>
      </c>
      <c r="BX138" s="5">
        <f t="shared" si="140"/>
        <v>228.6218302094818</v>
      </c>
      <c r="BY138" s="5">
        <f t="shared" si="141"/>
        <v>71.444321940463055</v>
      </c>
      <c r="BZ138" s="5">
        <f t="shared" si="142"/>
        <v>71.444321940463055</v>
      </c>
      <c r="CA138" s="5"/>
      <c r="CB138" s="7">
        <f>+CB137/1000</f>
        <v>310.84273055491855</v>
      </c>
      <c r="CC138" s="5" t="s">
        <v>138</v>
      </c>
      <c r="CD138" s="7"/>
      <c r="CE138" s="7"/>
      <c r="CI138" s="5"/>
      <c r="CJ138" s="5"/>
      <c r="CO138" s="6"/>
      <c r="CQ138" s="6"/>
      <c r="CR138" s="6"/>
      <c r="CT138" s="12"/>
      <c r="CU138" s="7"/>
      <c r="CX138" s="7"/>
      <c r="CZ138" s="21"/>
      <c r="DA138" s="21"/>
      <c r="DB138" s="17"/>
      <c r="DC138" s="127"/>
      <c r="DD138" s="129"/>
      <c r="DE138" s="17"/>
      <c r="DF138" s="128"/>
      <c r="DG138" s="128"/>
      <c r="DH138" s="87"/>
      <c r="DI138" s="17"/>
      <c r="DJ138" s="128"/>
      <c r="DK138" s="87"/>
      <c r="DL138" s="17"/>
      <c r="DM138" s="87"/>
      <c r="DN138" s="87"/>
      <c r="DO138" s="87"/>
      <c r="DP138" s="87"/>
      <c r="DQ138" s="17"/>
      <c r="DR138" s="17"/>
      <c r="DU138" s="5"/>
      <c r="DV138" s="7"/>
      <c r="DX138" s="7"/>
      <c r="DY138" s="7"/>
      <c r="DZ138" s="5"/>
    </row>
    <row r="139" spans="2:130">
      <c r="B139" s="7"/>
      <c r="C139" s="35"/>
      <c r="D139" s="4"/>
      <c r="E139" s="39"/>
      <c r="F139" s="48"/>
      <c r="G139" s="4"/>
      <c r="H139" s="7"/>
      <c r="I139" s="48"/>
      <c r="J139" s="4"/>
      <c r="K139" s="7"/>
      <c r="L139" s="54"/>
      <c r="M139" s="76">
        <v>4601.4000000000005</v>
      </c>
      <c r="N139" s="104">
        <v>40744</v>
      </c>
      <c r="O139" s="46"/>
      <c r="P139" s="76">
        <v>4601.4000000000005</v>
      </c>
      <c r="Q139" s="7"/>
      <c r="R139" s="55"/>
      <c r="S139" s="54"/>
      <c r="T139" s="53"/>
      <c r="U139" s="52"/>
      <c r="V139" s="52"/>
      <c r="W139" s="52"/>
      <c r="X139" s="54"/>
      <c r="Y139" s="54"/>
      <c r="Z139" s="53"/>
      <c r="AA139" s="54"/>
      <c r="AB139" s="53"/>
      <c r="AC139" s="5"/>
      <c r="AD139" s="5"/>
      <c r="AE139" s="5"/>
      <c r="AF139" s="7"/>
      <c r="AG139" s="5"/>
      <c r="AH139" s="7"/>
      <c r="AL139" s="7"/>
      <c r="AM139" s="7"/>
      <c r="AO139" s="18"/>
      <c r="AP139" s="4">
        <f t="shared" si="170"/>
        <v>40730</v>
      </c>
      <c r="AQ139" s="36">
        <v>0.72569444444444453</v>
      </c>
      <c r="AR139">
        <v>4000</v>
      </c>
      <c r="AT139" s="4">
        <v>40731</v>
      </c>
      <c r="AU139" s="36">
        <v>0.35555555555555557</v>
      </c>
      <c r="AV139">
        <v>1600</v>
      </c>
      <c r="AX139" s="45">
        <f t="shared" si="175"/>
        <v>3810.3638368246966</v>
      </c>
      <c r="AY139" s="45">
        <f t="shared" si="132"/>
        <v>0</v>
      </c>
      <c r="AZ139" s="7">
        <f t="shared" si="133"/>
        <v>3810.3638368246966</v>
      </c>
      <c r="BA139" s="18">
        <f t="shared" si="134"/>
        <v>1</v>
      </c>
      <c r="BB139" s="6">
        <f t="shared" si="135"/>
        <v>15.116666666666665</v>
      </c>
      <c r="BI139" s="6"/>
      <c r="BJ139" s="99">
        <v>0</v>
      </c>
      <c r="BK139" s="94">
        <v>40731</v>
      </c>
      <c r="BL139" s="12">
        <v>40731</v>
      </c>
      <c r="BM139" s="72"/>
      <c r="BN139" s="18">
        <f t="shared" si="156"/>
        <v>1</v>
      </c>
      <c r="BO139">
        <f t="shared" si="157"/>
        <v>94</v>
      </c>
      <c r="BP139" s="5">
        <f t="shared" si="176"/>
        <v>0</v>
      </c>
      <c r="BQ139" s="7">
        <f t="shared" ref="BQ139:BQ149" si="177">+VLOOKUP(BL139,AP75:AZ151,9)</f>
        <v>3772.9257641921395</v>
      </c>
      <c r="BR139" s="7"/>
      <c r="BS139" s="7">
        <f t="shared" si="174"/>
        <v>3772.9257641921395</v>
      </c>
      <c r="BT139">
        <f t="shared" si="172"/>
        <v>3.2</v>
      </c>
      <c r="BU139">
        <f t="shared" si="124"/>
        <v>60</v>
      </c>
      <c r="BV139" s="6">
        <f t="shared" si="138"/>
        <v>226.37554585152836</v>
      </c>
      <c r="BW139" s="6">
        <f t="shared" si="139"/>
        <v>0</v>
      </c>
      <c r="BX139" s="5">
        <f t="shared" si="140"/>
        <v>226.37554585152836</v>
      </c>
      <c r="BY139" s="5">
        <f t="shared" si="141"/>
        <v>70.742358078602606</v>
      </c>
      <c r="BZ139" s="5">
        <f t="shared" si="142"/>
        <v>70.742358078602606</v>
      </c>
      <c r="CA139" s="5"/>
      <c r="CB139" s="7"/>
      <c r="CC139" s="5"/>
      <c r="CD139" s="7"/>
      <c r="CE139" s="7"/>
      <c r="CI139" s="5"/>
      <c r="CJ139" s="5"/>
      <c r="CO139" s="21"/>
      <c r="CQ139" s="6"/>
      <c r="CR139" s="6"/>
      <c r="CT139" s="12"/>
      <c r="CU139" s="7"/>
      <c r="CX139" s="7"/>
      <c r="CZ139" s="21"/>
      <c r="DA139" s="21"/>
      <c r="DB139" s="17"/>
      <c r="DC139" s="127"/>
      <c r="DD139" s="129"/>
      <c r="DE139" s="17"/>
      <c r="DF139" s="128"/>
      <c r="DG139" s="128"/>
      <c r="DH139" s="87"/>
      <c r="DI139" s="17"/>
      <c r="DJ139" s="128"/>
      <c r="DK139" s="87"/>
      <c r="DL139" s="17"/>
      <c r="DM139" s="87"/>
      <c r="DN139" s="87"/>
      <c r="DO139" s="87"/>
      <c r="DP139" s="87"/>
      <c r="DQ139" s="17"/>
      <c r="DR139" s="17"/>
      <c r="DU139" s="5"/>
      <c r="DV139" s="7"/>
      <c r="DX139" s="7"/>
      <c r="DY139" s="7"/>
      <c r="DZ139" s="5"/>
    </row>
    <row r="140" spans="2:130">
      <c r="E140" s="39"/>
      <c r="F140" s="48"/>
      <c r="G140" s="4"/>
      <c r="H140" s="7"/>
      <c r="I140" s="48"/>
      <c r="J140" s="4"/>
      <c r="K140" s="7"/>
      <c r="L140" s="54"/>
      <c r="M140" s="76">
        <v>5172.8999999999996</v>
      </c>
      <c r="N140" s="104">
        <v>40745</v>
      </c>
      <c r="O140" s="46"/>
      <c r="P140" s="76">
        <v>5172.8999999999996</v>
      </c>
      <c r="Q140" s="7"/>
      <c r="R140" s="55"/>
      <c r="S140" s="54"/>
      <c r="T140" s="53"/>
      <c r="U140" s="52"/>
      <c r="V140" s="52"/>
      <c r="W140" s="52"/>
      <c r="X140" s="54"/>
      <c r="Y140" s="54"/>
      <c r="Z140" s="53"/>
      <c r="AA140" s="54"/>
      <c r="AB140" s="53"/>
      <c r="AC140" s="5"/>
      <c r="AD140" s="5"/>
      <c r="AE140" s="5"/>
      <c r="AF140" s="7"/>
      <c r="AG140" s="5"/>
      <c r="AH140" s="7"/>
      <c r="AL140" s="7"/>
      <c r="AM140" s="7"/>
      <c r="AO140" s="18"/>
      <c r="AP140" s="4">
        <f t="shared" si="170"/>
        <v>40731</v>
      </c>
      <c r="AQ140" s="36">
        <v>0.71805555555555556</v>
      </c>
      <c r="AR140">
        <v>4000</v>
      </c>
      <c r="AT140" s="4">
        <v>40732</v>
      </c>
      <c r="AU140" s="36">
        <v>0.35416666666666669</v>
      </c>
      <c r="AV140">
        <v>1600</v>
      </c>
      <c r="AX140" s="45">
        <f t="shared" si="175"/>
        <v>3772.9257641921395</v>
      </c>
      <c r="AY140" s="45">
        <f t="shared" si="132"/>
        <v>0</v>
      </c>
      <c r="AZ140" s="7">
        <f t="shared" si="133"/>
        <v>3772.9257641921395</v>
      </c>
      <c r="BA140" s="18">
        <f t="shared" si="134"/>
        <v>1</v>
      </c>
      <c r="BB140" s="6">
        <f t="shared" si="135"/>
        <v>15.266666666666667</v>
      </c>
      <c r="BI140" s="6"/>
      <c r="BJ140" s="27"/>
      <c r="BK140" s="21"/>
      <c r="BL140" s="12">
        <v>40732</v>
      </c>
      <c r="BM140" s="72"/>
      <c r="BN140" s="18">
        <f t="shared" si="156"/>
        <v>1</v>
      </c>
      <c r="BO140">
        <f t="shared" si="157"/>
        <v>95</v>
      </c>
      <c r="BP140" s="5">
        <f t="shared" si="176"/>
        <v>0</v>
      </c>
      <c r="BQ140" s="7">
        <f t="shared" si="177"/>
        <v>3848.5523385300667</v>
      </c>
      <c r="BR140" s="7"/>
      <c r="BS140" s="7">
        <f t="shared" si="174"/>
        <v>3848.5523385300667</v>
      </c>
      <c r="BT140">
        <f t="shared" si="172"/>
        <v>3.2</v>
      </c>
      <c r="BU140">
        <f t="shared" si="124"/>
        <v>60</v>
      </c>
      <c r="BV140" s="6">
        <f t="shared" si="138"/>
        <v>230.913140311804</v>
      </c>
      <c r="BW140" s="6">
        <f t="shared" si="139"/>
        <v>0</v>
      </c>
      <c r="BX140" s="5">
        <f t="shared" si="140"/>
        <v>230.913140311804</v>
      </c>
      <c r="BY140" s="5">
        <f t="shared" si="141"/>
        <v>72.16035634743875</v>
      </c>
      <c r="BZ140" s="5">
        <f t="shared" si="142"/>
        <v>72.16035634743875</v>
      </c>
      <c r="CA140" s="5"/>
      <c r="CB140" s="7"/>
      <c r="CC140" s="5"/>
      <c r="CD140" s="7"/>
      <c r="CE140" s="7"/>
      <c r="CI140" s="5"/>
      <c r="CJ140" s="5"/>
      <c r="CO140" s="21"/>
      <c r="CQ140" s="6"/>
      <c r="CR140" s="6"/>
      <c r="CT140" s="12"/>
      <c r="CU140" s="7"/>
      <c r="CX140" s="7"/>
      <c r="CZ140" s="21"/>
      <c r="DA140" s="21"/>
      <c r="DB140" s="17"/>
      <c r="DC140" s="127"/>
      <c r="DD140" s="129"/>
      <c r="DE140" s="17"/>
      <c r="DF140" s="128"/>
      <c r="DG140" s="128"/>
      <c r="DH140" s="87"/>
      <c r="DI140" s="17"/>
      <c r="DJ140" s="128"/>
      <c r="DK140" s="87"/>
      <c r="DL140" s="17"/>
      <c r="DM140" s="87"/>
      <c r="DN140" s="87"/>
      <c r="DO140" s="87"/>
      <c r="DP140" s="87"/>
      <c r="DQ140" s="17"/>
      <c r="DR140" s="17"/>
      <c r="DU140" s="5"/>
      <c r="DV140" s="7"/>
      <c r="DX140" s="7"/>
      <c r="DY140" s="7"/>
      <c r="DZ140" s="5"/>
    </row>
    <row r="141" spans="2:130">
      <c r="E141" s="39"/>
      <c r="F141" s="48"/>
      <c r="G141" s="4"/>
      <c r="H141" s="7"/>
      <c r="I141" s="48"/>
      <c r="J141" s="4"/>
      <c r="K141" s="7"/>
      <c r="L141" s="54"/>
      <c r="M141" s="76">
        <v>6214.9</v>
      </c>
      <c r="N141" s="104">
        <v>40746</v>
      </c>
      <c r="O141" s="46"/>
      <c r="P141" s="76">
        <v>6214.9</v>
      </c>
      <c r="Q141" s="7"/>
      <c r="R141" s="55"/>
      <c r="S141" s="54"/>
      <c r="T141" s="53"/>
      <c r="U141" s="52"/>
      <c r="V141" s="52"/>
      <c r="W141" s="52"/>
      <c r="X141" s="54"/>
      <c r="Y141" s="54"/>
      <c r="Z141" s="53"/>
      <c r="AA141" s="54"/>
      <c r="AB141" s="53"/>
      <c r="AC141" s="5"/>
      <c r="AD141" s="5"/>
      <c r="AE141" s="5"/>
      <c r="AF141" s="7"/>
      <c r="AG141" s="5"/>
      <c r="AH141" s="7"/>
      <c r="AL141" s="7"/>
      <c r="AM141" s="7"/>
      <c r="AO141" s="18"/>
      <c r="AP141" s="4">
        <f t="shared" si="170"/>
        <v>40732</v>
      </c>
      <c r="AQ141" s="36">
        <v>0.78611111111111109</v>
      </c>
      <c r="AR141">
        <v>4000</v>
      </c>
      <c r="AT141" s="4">
        <v>40733</v>
      </c>
      <c r="AU141" s="36">
        <v>0.40972222222222227</v>
      </c>
      <c r="AV141">
        <v>1600</v>
      </c>
      <c r="AX141" s="45">
        <f t="shared" si="175"/>
        <v>3848.5523385300667</v>
      </c>
      <c r="AY141" s="45">
        <f t="shared" si="132"/>
        <v>0</v>
      </c>
      <c r="AZ141" s="7">
        <f t="shared" si="133"/>
        <v>3848.5523385300667</v>
      </c>
      <c r="BA141" s="18">
        <f t="shared" si="134"/>
        <v>1</v>
      </c>
      <c r="BB141" s="6">
        <f t="shared" si="135"/>
        <v>14.966666666666669</v>
      </c>
      <c r="BI141" s="6"/>
      <c r="BJ141" s="99">
        <v>0</v>
      </c>
      <c r="BK141" s="94">
        <v>40733</v>
      </c>
      <c r="BL141" s="12">
        <v>40733</v>
      </c>
      <c r="BM141" s="72"/>
      <c r="BN141" s="18">
        <f t="shared" si="156"/>
        <v>1</v>
      </c>
      <c r="BO141">
        <f t="shared" si="157"/>
        <v>96</v>
      </c>
      <c r="BP141" s="5">
        <f t="shared" si="176"/>
        <v>0</v>
      </c>
      <c r="BQ141" s="7">
        <f t="shared" si="177"/>
        <v>3489.9894625922029</v>
      </c>
      <c r="BR141" s="7"/>
      <c r="BS141" s="7">
        <f t="shared" si="174"/>
        <v>3489.9894625922029</v>
      </c>
      <c r="BT141">
        <f t="shared" si="172"/>
        <v>3.2</v>
      </c>
      <c r="BU141">
        <f t="shared" si="124"/>
        <v>60</v>
      </c>
      <c r="BV141" s="6">
        <f t="shared" si="138"/>
        <v>209.39936775553218</v>
      </c>
      <c r="BW141" s="6">
        <f t="shared" si="139"/>
        <v>0</v>
      </c>
      <c r="BX141" s="5">
        <f t="shared" si="140"/>
        <v>209.39936775553218</v>
      </c>
      <c r="BY141" s="5">
        <f t="shared" si="141"/>
        <v>65.437302423603796</v>
      </c>
      <c r="BZ141" s="5">
        <f t="shared" si="142"/>
        <v>65.437302423603796</v>
      </c>
      <c r="CA141" s="5"/>
      <c r="CB141" s="7"/>
      <c r="CC141" s="5"/>
      <c r="CD141" s="7"/>
      <c r="CE141" s="7"/>
      <c r="CI141" s="5"/>
      <c r="CJ141" s="5"/>
      <c r="CO141" s="21"/>
      <c r="CQ141" s="6"/>
      <c r="CR141" s="6"/>
      <c r="CT141" s="12"/>
      <c r="CU141" s="7"/>
      <c r="CX141" s="7"/>
      <c r="CZ141" s="21"/>
      <c r="DA141" s="21"/>
      <c r="DB141" s="17"/>
      <c r="DC141" s="127"/>
      <c r="DD141" s="129"/>
      <c r="DE141" s="17"/>
      <c r="DF141" s="128"/>
      <c r="DG141" s="128"/>
      <c r="DH141" s="87"/>
      <c r="DI141" s="17"/>
      <c r="DJ141" s="128"/>
      <c r="DK141" s="87"/>
      <c r="DL141" s="17"/>
      <c r="DM141" s="87"/>
      <c r="DN141" s="87"/>
      <c r="DO141" s="87"/>
      <c r="DP141" s="87"/>
      <c r="DQ141" s="17"/>
      <c r="DR141" s="17"/>
      <c r="DU141" s="5"/>
      <c r="DV141" s="7"/>
      <c r="DX141" s="7"/>
      <c r="DY141" s="7"/>
      <c r="DZ141" s="5"/>
    </row>
    <row r="142" spans="2:130">
      <c r="E142" s="39"/>
      <c r="F142" s="48"/>
      <c r="G142" s="4"/>
      <c r="H142" s="7"/>
      <c r="I142" s="48"/>
      <c r="J142" s="4"/>
      <c r="K142" s="7"/>
      <c r="L142" s="54"/>
      <c r="M142" s="76">
        <v>5501.9</v>
      </c>
      <c r="N142" s="104">
        <v>40747</v>
      </c>
      <c r="O142" s="46"/>
      <c r="P142" s="76">
        <v>5501.9</v>
      </c>
      <c r="Q142" s="7"/>
      <c r="R142" s="55"/>
      <c r="S142" s="54"/>
      <c r="T142" s="53"/>
      <c r="U142" s="52"/>
      <c r="V142" s="52"/>
      <c r="W142" s="52"/>
      <c r="X142" s="54"/>
      <c r="Y142" s="54"/>
      <c r="Z142" s="53"/>
      <c r="AA142" s="54"/>
      <c r="AB142" s="53"/>
      <c r="AC142" s="5"/>
      <c r="AD142" s="5"/>
      <c r="AE142" s="5"/>
      <c r="AF142" s="7"/>
      <c r="AG142" s="5"/>
      <c r="AH142" s="7"/>
      <c r="AL142" s="7"/>
      <c r="AM142" s="7"/>
      <c r="AO142" s="18"/>
      <c r="AP142" s="4">
        <f t="shared" si="170"/>
        <v>40733</v>
      </c>
      <c r="AQ142" s="36">
        <v>0.75347222222222221</v>
      </c>
      <c r="AR142">
        <v>4000</v>
      </c>
      <c r="AT142" s="4">
        <v>40734</v>
      </c>
      <c r="AU142" s="36">
        <v>0.41250000000000003</v>
      </c>
      <c r="AV142">
        <v>1700</v>
      </c>
      <c r="AX142" s="45">
        <f t="shared" si="175"/>
        <v>3489.9894625922029</v>
      </c>
      <c r="AY142" s="45">
        <f t="shared" si="132"/>
        <v>0</v>
      </c>
      <c r="AZ142" s="7">
        <f t="shared" si="133"/>
        <v>3489.9894625922029</v>
      </c>
      <c r="BA142" s="18">
        <f t="shared" si="134"/>
        <v>1</v>
      </c>
      <c r="BB142" s="6">
        <f t="shared" si="135"/>
        <v>15.816666666666665</v>
      </c>
      <c r="BI142" s="6"/>
      <c r="BJ142" s="99">
        <v>0</v>
      </c>
      <c r="BK142" s="94">
        <v>40734</v>
      </c>
      <c r="BL142" s="12">
        <v>40734</v>
      </c>
      <c r="BM142" s="72"/>
      <c r="BN142" s="18">
        <f t="shared" si="156"/>
        <v>1</v>
      </c>
      <c r="BO142">
        <f t="shared" si="157"/>
        <v>97</v>
      </c>
      <c r="BP142" s="5">
        <f t="shared" si="176"/>
        <v>0</v>
      </c>
      <c r="BQ142" s="7">
        <f t="shared" si="177"/>
        <v>3469.8795180722886</v>
      </c>
      <c r="BR142" s="7"/>
      <c r="BS142" s="7">
        <f t="shared" si="174"/>
        <v>3469.8795180722886</v>
      </c>
      <c r="BT142">
        <f t="shared" si="172"/>
        <v>3.2</v>
      </c>
      <c r="BU142">
        <f t="shared" si="124"/>
        <v>60</v>
      </c>
      <c r="BV142" s="6">
        <f t="shared" si="138"/>
        <v>208.19277108433732</v>
      </c>
      <c r="BW142" s="6">
        <f t="shared" si="139"/>
        <v>0</v>
      </c>
      <c r="BX142" s="5">
        <f t="shared" si="140"/>
        <v>208.19277108433732</v>
      </c>
      <c r="BY142" s="5">
        <f t="shared" si="141"/>
        <v>65.060240963855406</v>
      </c>
      <c r="BZ142" s="5">
        <f t="shared" si="142"/>
        <v>65.060240963855406</v>
      </c>
      <c r="CA142" s="5"/>
      <c r="CB142" s="7"/>
      <c r="CC142" s="5"/>
      <c r="CD142" s="7"/>
      <c r="CE142" s="7"/>
      <c r="CI142" s="5"/>
      <c r="CJ142" s="5"/>
      <c r="CO142" s="21"/>
      <c r="CQ142" s="6"/>
      <c r="CR142" s="6"/>
      <c r="CT142" s="12"/>
      <c r="CU142" s="7"/>
      <c r="CX142" s="7"/>
      <c r="CZ142" s="21"/>
      <c r="DA142" s="21"/>
      <c r="DB142" s="17"/>
      <c r="DC142" s="127"/>
      <c r="DD142" s="129"/>
      <c r="DE142" s="17"/>
      <c r="DF142" s="128"/>
      <c r="DG142" s="128"/>
      <c r="DH142" s="87"/>
      <c r="DI142" s="17"/>
      <c r="DJ142" s="128"/>
      <c r="DK142" s="87"/>
      <c r="DL142" s="17"/>
      <c r="DM142" s="87"/>
      <c r="DN142" s="87"/>
      <c r="DO142" s="87"/>
      <c r="DP142" s="87"/>
      <c r="DQ142" s="17"/>
      <c r="DR142" s="17"/>
      <c r="DU142" s="5"/>
      <c r="DV142" s="7"/>
      <c r="DX142" s="7"/>
      <c r="DY142" s="7"/>
      <c r="DZ142" s="5"/>
    </row>
    <row r="143" spans="2:130">
      <c r="E143" s="39"/>
      <c r="F143" s="48"/>
      <c r="G143" s="4"/>
      <c r="H143" s="7"/>
      <c r="I143" s="48"/>
      <c r="J143" s="4"/>
      <c r="K143" s="7"/>
      <c r="L143" s="54"/>
      <c r="M143" s="76">
        <v>5182.8999999999996</v>
      </c>
      <c r="N143" s="104">
        <v>40749</v>
      </c>
      <c r="O143" s="46"/>
      <c r="P143" s="76">
        <v>5182.8999999999996</v>
      </c>
      <c r="Q143" s="7"/>
      <c r="R143" s="55"/>
      <c r="S143" s="54"/>
      <c r="T143" s="53"/>
      <c r="U143" s="52"/>
      <c r="V143" s="52"/>
      <c r="W143" s="52"/>
      <c r="X143" s="54"/>
      <c r="Y143" s="54"/>
      <c r="Z143" s="53"/>
      <c r="AA143" s="54"/>
      <c r="AB143" s="53"/>
      <c r="AC143" s="5"/>
      <c r="AD143" s="5"/>
      <c r="AE143" s="5"/>
      <c r="AF143" s="7"/>
      <c r="AG143" s="5"/>
      <c r="AH143" s="7"/>
      <c r="AL143" s="7"/>
      <c r="AM143" s="7"/>
      <c r="AO143" s="18"/>
      <c r="AP143" s="4">
        <f t="shared" si="170"/>
        <v>40734</v>
      </c>
      <c r="AQ143" s="36">
        <v>0.79166666666666663</v>
      </c>
      <c r="AR143">
        <v>4000</v>
      </c>
      <c r="AT143" s="4">
        <v>40735</v>
      </c>
      <c r="AU143" s="36">
        <v>0.36805555555555558</v>
      </c>
      <c r="AV143">
        <v>2000</v>
      </c>
      <c r="AX143" s="45">
        <f t="shared" si="175"/>
        <v>3469.8795180722886</v>
      </c>
      <c r="AY143" s="45">
        <f t="shared" si="132"/>
        <v>0</v>
      </c>
      <c r="AZ143" s="7">
        <f t="shared" si="133"/>
        <v>3469.8795180722886</v>
      </c>
      <c r="BA143" s="18">
        <f t="shared" si="134"/>
        <v>1</v>
      </c>
      <c r="BB143" s="6">
        <f t="shared" si="135"/>
        <v>13.833333333333336</v>
      </c>
      <c r="BI143" s="6"/>
      <c r="BJ143" s="27"/>
      <c r="BK143" s="21"/>
      <c r="BL143" s="12">
        <v>40735</v>
      </c>
      <c r="BM143" s="72"/>
      <c r="BN143" s="18">
        <f t="shared" si="156"/>
        <v>1</v>
      </c>
      <c r="BO143">
        <f t="shared" si="157"/>
        <v>98</v>
      </c>
      <c r="BP143" s="5"/>
      <c r="BQ143" s="7">
        <f t="shared" si="177"/>
        <v>3562.8865979381444</v>
      </c>
      <c r="BR143" s="7"/>
      <c r="BS143" s="7">
        <f t="shared" si="174"/>
        <v>3562.8865979381444</v>
      </c>
      <c r="BT143">
        <f t="shared" si="172"/>
        <v>3.2</v>
      </c>
      <c r="BU143">
        <f t="shared" si="124"/>
        <v>60</v>
      </c>
      <c r="BV143" s="6">
        <f t="shared" si="138"/>
        <v>213.77319587628867</v>
      </c>
      <c r="BW143" s="6">
        <f t="shared" si="139"/>
        <v>0</v>
      </c>
      <c r="BX143" s="5">
        <f t="shared" si="140"/>
        <v>213.77319587628867</v>
      </c>
      <c r="BY143" s="5">
        <f t="shared" si="141"/>
        <v>66.80412371134021</v>
      </c>
      <c r="BZ143" s="5">
        <f t="shared" si="142"/>
        <v>66.80412371134021</v>
      </c>
      <c r="CA143" s="5"/>
      <c r="CB143" s="7"/>
      <c r="CC143" s="5"/>
      <c r="CD143" s="7"/>
      <c r="CE143" s="7"/>
      <c r="CI143" s="5"/>
      <c r="CJ143" s="5"/>
      <c r="CO143" s="21"/>
      <c r="CQ143" s="6"/>
      <c r="CR143" s="6"/>
      <c r="CT143" s="12"/>
      <c r="CU143" s="7"/>
      <c r="CX143" s="7"/>
      <c r="CZ143" s="21"/>
      <c r="DA143" s="21"/>
      <c r="DB143" s="17"/>
      <c r="DC143" s="127"/>
      <c r="DD143" s="129"/>
      <c r="DE143" s="17"/>
      <c r="DF143" s="128"/>
      <c r="DG143" s="128"/>
      <c r="DH143" s="87"/>
      <c r="DI143" s="17"/>
      <c r="DJ143" s="128"/>
      <c r="DK143" s="87"/>
      <c r="DL143" s="17"/>
      <c r="DM143" s="87"/>
      <c r="DN143" s="87"/>
      <c r="DO143" s="87"/>
      <c r="DP143" s="87"/>
      <c r="DQ143" s="17"/>
      <c r="DR143" s="17"/>
      <c r="DU143" s="5"/>
      <c r="DV143" s="7"/>
      <c r="DX143" s="7"/>
      <c r="DY143" s="7"/>
      <c r="DZ143" s="5"/>
    </row>
    <row r="144" spans="2:130">
      <c r="E144" s="39"/>
      <c r="F144" s="48"/>
      <c r="G144" s="4"/>
      <c r="H144" s="7"/>
      <c r="I144" s="48"/>
      <c r="J144" s="4"/>
      <c r="K144" s="7"/>
      <c r="L144" s="54"/>
      <c r="M144" s="76">
        <v>5457.5</v>
      </c>
      <c r="N144" s="104">
        <v>40750</v>
      </c>
      <c r="O144" s="46"/>
      <c r="P144" s="76">
        <v>5457.5</v>
      </c>
      <c r="Q144" s="7"/>
      <c r="R144" s="55"/>
      <c r="S144" s="54"/>
      <c r="T144" s="53"/>
      <c r="U144" s="52"/>
      <c r="V144" s="52"/>
      <c r="W144" s="52"/>
      <c r="X144" s="54"/>
      <c r="Y144" s="54"/>
      <c r="Z144" s="53"/>
      <c r="AA144" s="54"/>
      <c r="AB144" s="53"/>
      <c r="AC144" s="5"/>
      <c r="AD144" s="5"/>
      <c r="AE144" s="5"/>
      <c r="AF144" s="7"/>
      <c r="AG144" s="5"/>
      <c r="AH144" s="7"/>
      <c r="AL144" s="7"/>
      <c r="AM144" s="7"/>
      <c r="AO144" s="18"/>
      <c r="AP144" s="4">
        <f t="shared" si="170"/>
        <v>40735</v>
      </c>
      <c r="AQ144" s="36">
        <v>0.6875</v>
      </c>
      <c r="AR144">
        <v>4000</v>
      </c>
      <c r="AT144" s="4">
        <v>40736</v>
      </c>
      <c r="AU144" s="36">
        <v>0.3611111111111111</v>
      </c>
      <c r="AV144">
        <v>1600</v>
      </c>
      <c r="AX144" s="45">
        <f t="shared" si="175"/>
        <v>3562.8865979381444</v>
      </c>
      <c r="AY144" s="45">
        <f t="shared" ref="AY144:AY175" si="178">+(AS144-AW144)/BB144*24</f>
        <v>0</v>
      </c>
      <c r="AZ144" s="7">
        <f t="shared" ref="AZ144:AZ175" si="179">+AY144+AX144</f>
        <v>3562.8865979381444</v>
      </c>
      <c r="BA144" s="18">
        <f t="shared" ref="BA144:BA175" si="180">+AT144-AP144</f>
        <v>1</v>
      </c>
      <c r="BB144" s="6">
        <f t="shared" ref="BB144:BB175" si="181">IF(BA144=0,+BA144*24+HOUR(AU144-AQ144)+MINUTE(AU144-AQ144)/60,+HOUR(AU144)+MINUTE(AU144)/60+BA144*24-HOUR(AQ144)-MINUTE(AQ144)/60)</f>
        <v>16.166666666666664</v>
      </c>
      <c r="BI144" s="6"/>
      <c r="BJ144" s="27"/>
      <c r="BK144" s="21"/>
      <c r="BL144" s="12">
        <v>40736</v>
      </c>
      <c r="BM144" s="72"/>
      <c r="BN144" s="18">
        <f t="shared" si="156"/>
        <v>1</v>
      </c>
      <c r="BO144">
        <f t="shared" si="157"/>
        <v>99</v>
      </c>
      <c r="BP144" s="5"/>
      <c r="BQ144" s="7">
        <f t="shared" si="177"/>
        <v>3663.5514018691597</v>
      </c>
      <c r="BR144" s="7"/>
      <c r="BS144" s="7">
        <f t="shared" si="174"/>
        <v>3663.5514018691597</v>
      </c>
      <c r="BT144">
        <f t="shared" si="172"/>
        <v>3.2</v>
      </c>
      <c r="BU144">
        <f t="shared" si="124"/>
        <v>60</v>
      </c>
      <c r="BV144" s="6">
        <f t="shared" ref="BV144:BV175" si="182">+BQ144*BU144/1000</f>
        <v>219.81308411214957</v>
      </c>
      <c r="BW144" s="6">
        <f t="shared" ref="BW144:BW151" si="183">+BS144*BM144/1000000</f>
        <v>0</v>
      </c>
      <c r="BX144" s="5">
        <f t="shared" ref="BX144:BX175" si="184">+BV144-BW144</f>
        <v>219.81308411214957</v>
      </c>
      <c r="BY144" s="5">
        <f t="shared" ref="BY144:BY175" si="185">+BX144/BT144</f>
        <v>68.691588785046733</v>
      </c>
      <c r="BZ144" s="5">
        <f t="shared" ref="BZ144:BZ151" si="186">+(BU144*BS144-BM144/1000*BS144)/1000/BT144</f>
        <v>68.691588785046733</v>
      </c>
      <c r="CA144" s="5"/>
      <c r="CB144" s="7"/>
      <c r="CC144" s="5"/>
      <c r="CD144" s="7"/>
      <c r="CE144" s="7"/>
      <c r="CI144" s="5"/>
      <c r="CJ144" s="5"/>
      <c r="CO144" s="21"/>
      <c r="CQ144" s="6"/>
      <c r="CR144" s="6"/>
      <c r="CT144" s="12"/>
      <c r="CU144" s="7"/>
      <c r="CX144" s="7"/>
      <c r="CZ144" s="21"/>
      <c r="DA144" s="21"/>
      <c r="DB144" s="17"/>
      <c r="DC144" s="127"/>
      <c r="DD144" s="129"/>
      <c r="DE144" s="17"/>
      <c r="DF144" s="128"/>
      <c r="DG144" s="128"/>
      <c r="DH144" s="87"/>
      <c r="DI144" s="17"/>
      <c r="DJ144" s="128"/>
      <c r="DK144" s="87"/>
      <c r="DL144" s="17"/>
      <c r="DM144" s="87"/>
      <c r="DN144" s="87"/>
      <c r="DO144" s="87"/>
      <c r="DP144" s="87"/>
      <c r="DQ144" s="17"/>
      <c r="DR144" s="17"/>
      <c r="DU144" s="5"/>
      <c r="DV144" s="7"/>
    </row>
    <row r="145" spans="5:126">
      <c r="E145" s="39"/>
      <c r="F145" s="48"/>
      <c r="G145" s="4"/>
      <c r="H145" s="7"/>
      <c r="I145" s="48"/>
      <c r="J145" s="4"/>
      <c r="K145" s="7"/>
      <c r="L145" s="54"/>
      <c r="M145" s="76">
        <v>5288.5</v>
      </c>
      <c r="N145" s="104">
        <v>40753</v>
      </c>
      <c r="O145" s="46"/>
      <c r="P145" s="76">
        <v>5288.5</v>
      </c>
      <c r="Q145" s="7"/>
      <c r="R145" s="55"/>
      <c r="S145" s="54"/>
      <c r="T145" s="53"/>
      <c r="U145" s="52"/>
      <c r="V145" s="52"/>
      <c r="W145" s="52"/>
      <c r="X145" s="54"/>
      <c r="Y145" s="54"/>
      <c r="Z145" s="53"/>
      <c r="AA145" s="54"/>
      <c r="AB145" s="53"/>
      <c r="AC145" s="5"/>
      <c r="AD145" s="5"/>
      <c r="AE145" s="5"/>
      <c r="AF145" s="7"/>
      <c r="AG145" s="5"/>
      <c r="AH145" s="7"/>
      <c r="AL145" s="7"/>
      <c r="AM145" s="7"/>
      <c r="AO145" s="18"/>
      <c r="AP145" s="4">
        <f t="shared" si="170"/>
        <v>40736</v>
      </c>
      <c r="AQ145" s="36">
        <v>0.6875</v>
      </c>
      <c r="AR145">
        <v>4000</v>
      </c>
      <c r="AT145" s="4">
        <v>40737</v>
      </c>
      <c r="AU145" s="36">
        <v>0.35625000000000001</v>
      </c>
      <c r="AV145">
        <v>1550</v>
      </c>
      <c r="AX145" s="45">
        <f t="shared" si="175"/>
        <v>3663.5514018691597</v>
      </c>
      <c r="AY145" s="45">
        <f t="shared" si="178"/>
        <v>0</v>
      </c>
      <c r="AZ145" s="7">
        <f t="shared" si="179"/>
        <v>3663.5514018691597</v>
      </c>
      <c r="BA145" s="18">
        <f t="shared" si="180"/>
        <v>1</v>
      </c>
      <c r="BB145" s="6">
        <f t="shared" si="181"/>
        <v>16.049999999999997</v>
      </c>
      <c r="BI145" s="6"/>
      <c r="BJ145" s="27"/>
      <c r="BK145" s="21"/>
      <c r="BL145" s="12">
        <v>40737</v>
      </c>
      <c r="BM145" s="72"/>
      <c r="BN145" s="18">
        <f t="shared" ref="BN145:BN151" si="187">+DAY(BL145-BL144)</f>
        <v>1</v>
      </c>
      <c r="BO145">
        <f t="shared" ref="BO145:BO176" si="188">+BN145+BO144</f>
        <v>100</v>
      </c>
      <c r="BP145" s="5"/>
      <c r="BQ145" s="7">
        <f t="shared" si="177"/>
        <v>3814.0540540540533</v>
      </c>
      <c r="BR145" s="7"/>
      <c r="BS145" s="7">
        <f t="shared" si="174"/>
        <v>3814.0540540540533</v>
      </c>
      <c r="BT145">
        <f t="shared" si="172"/>
        <v>3.2</v>
      </c>
      <c r="BU145">
        <f t="shared" si="124"/>
        <v>60</v>
      </c>
      <c r="BV145" s="6">
        <f t="shared" si="182"/>
        <v>228.84324324324319</v>
      </c>
      <c r="BW145" s="6">
        <f t="shared" si="183"/>
        <v>0</v>
      </c>
      <c r="BX145" s="5">
        <f t="shared" si="184"/>
        <v>228.84324324324319</v>
      </c>
      <c r="BY145" s="5">
        <f t="shared" si="185"/>
        <v>71.513513513513487</v>
      </c>
      <c r="BZ145" s="5">
        <f t="shared" si="186"/>
        <v>71.513513513513487</v>
      </c>
      <c r="CA145" s="5"/>
      <c r="CB145" s="7"/>
      <c r="CC145" s="5"/>
      <c r="CD145" s="7"/>
      <c r="CE145" s="7"/>
      <c r="CI145" s="5"/>
      <c r="CJ145" s="5"/>
      <c r="CO145" s="21"/>
      <c r="CQ145" s="6"/>
      <c r="CR145" s="6"/>
      <c r="CT145" s="12"/>
      <c r="CU145" s="7"/>
      <c r="CX145" s="7"/>
      <c r="CZ145" s="21"/>
      <c r="DA145" s="21"/>
      <c r="DB145" s="17"/>
      <c r="DC145" s="127"/>
      <c r="DD145" s="129"/>
      <c r="DE145" s="17"/>
      <c r="DF145" s="128"/>
      <c r="DG145" s="128"/>
      <c r="DH145" s="87"/>
      <c r="DI145" s="17"/>
      <c r="DJ145" s="128"/>
      <c r="DK145" s="87"/>
      <c r="DL145" s="17"/>
      <c r="DM145" s="87"/>
      <c r="DN145" s="87"/>
      <c r="DO145" s="87"/>
      <c r="DP145" s="87"/>
      <c r="DQ145" s="17"/>
      <c r="DR145" s="17"/>
      <c r="DU145" s="5"/>
      <c r="DV145" s="7"/>
    </row>
    <row r="146" spans="5:126">
      <c r="E146" s="39"/>
      <c r="F146" s="48"/>
      <c r="G146" s="4"/>
      <c r="H146" s="7"/>
      <c r="I146" s="48"/>
      <c r="J146" s="4"/>
      <c r="K146" s="7"/>
      <c r="L146" s="54"/>
      <c r="M146" s="76">
        <v>4062.2999999999997</v>
      </c>
      <c r="N146" s="104">
        <v>40755</v>
      </c>
      <c r="O146" s="46"/>
      <c r="P146" s="76">
        <v>4062.2999999999997</v>
      </c>
      <c r="Q146" s="7"/>
      <c r="R146" s="55"/>
      <c r="S146" s="54"/>
      <c r="T146" s="53"/>
      <c r="U146" s="52"/>
      <c r="V146" s="52"/>
      <c r="W146" s="52"/>
      <c r="X146" s="54"/>
      <c r="Y146" s="54"/>
      <c r="Z146" s="53"/>
      <c r="AA146" s="54"/>
      <c r="AB146" s="53"/>
      <c r="AC146" s="5"/>
      <c r="AD146" s="5"/>
      <c r="AE146" s="5"/>
      <c r="AF146" s="7"/>
      <c r="AG146" s="5"/>
      <c r="AH146" s="7"/>
      <c r="AL146" s="7"/>
      <c r="AM146" s="7"/>
      <c r="AO146" s="18"/>
      <c r="AP146" s="4">
        <f t="shared" si="170"/>
        <v>40737</v>
      </c>
      <c r="AQ146" s="36">
        <v>0.72013888888888899</v>
      </c>
      <c r="AR146">
        <v>4000</v>
      </c>
      <c r="AT146" s="4">
        <v>40738</v>
      </c>
      <c r="AU146" s="36">
        <v>0.36249999999999999</v>
      </c>
      <c r="AV146">
        <v>1550</v>
      </c>
      <c r="AX146" s="45">
        <f t="shared" si="175"/>
        <v>3814.0540540540533</v>
      </c>
      <c r="AY146" s="45">
        <f t="shared" si="178"/>
        <v>0</v>
      </c>
      <c r="AZ146" s="7">
        <f t="shared" si="179"/>
        <v>3814.0540540540533</v>
      </c>
      <c r="BA146" s="18">
        <f t="shared" si="180"/>
        <v>1</v>
      </c>
      <c r="BB146" s="6">
        <f t="shared" si="181"/>
        <v>15.41666666666667</v>
      </c>
      <c r="BI146" s="6"/>
      <c r="BJ146" s="27"/>
      <c r="BK146" s="21"/>
      <c r="BL146" s="12">
        <v>40738</v>
      </c>
      <c r="BM146" s="72"/>
      <c r="BN146" s="18">
        <f t="shared" si="187"/>
        <v>1</v>
      </c>
      <c r="BO146">
        <f t="shared" si="188"/>
        <v>101</v>
      </c>
      <c r="BP146" s="5"/>
      <c r="BQ146" s="7">
        <f t="shared" si="177"/>
        <v>3887.6889848812098</v>
      </c>
      <c r="BR146" s="7"/>
      <c r="BS146" s="7">
        <f t="shared" si="174"/>
        <v>3887.6889848812098</v>
      </c>
      <c r="BT146">
        <f t="shared" si="172"/>
        <v>3.2</v>
      </c>
      <c r="BU146">
        <f t="shared" si="124"/>
        <v>60</v>
      </c>
      <c r="BV146" s="6">
        <f t="shared" si="182"/>
        <v>233.26133909287256</v>
      </c>
      <c r="BW146" s="6">
        <f t="shared" si="183"/>
        <v>0</v>
      </c>
      <c r="BX146" s="5">
        <f t="shared" si="184"/>
        <v>233.26133909287256</v>
      </c>
      <c r="BY146" s="5">
        <f t="shared" si="185"/>
        <v>72.894168466522672</v>
      </c>
      <c r="BZ146" s="5">
        <f t="shared" si="186"/>
        <v>72.894168466522672</v>
      </c>
      <c r="CA146" s="5"/>
      <c r="CB146" s="7"/>
      <c r="CC146" s="5"/>
      <c r="CD146" s="7"/>
      <c r="CE146" s="7"/>
      <c r="CI146" s="5"/>
      <c r="CJ146" s="5"/>
      <c r="CO146" s="21"/>
      <c r="CQ146" s="6"/>
      <c r="CR146" s="6"/>
      <c r="CT146" s="12"/>
      <c r="CU146" s="7"/>
      <c r="CX146" s="7"/>
      <c r="CZ146" s="21"/>
      <c r="DA146" s="21"/>
      <c r="DB146" s="17"/>
      <c r="DC146" s="127"/>
      <c r="DD146" s="129"/>
      <c r="DE146" s="17"/>
      <c r="DF146" s="128"/>
      <c r="DG146" s="128"/>
      <c r="DH146" s="87"/>
      <c r="DI146" s="17"/>
      <c r="DJ146" s="128"/>
      <c r="DK146" s="87"/>
      <c r="DL146" s="17"/>
      <c r="DM146" s="87"/>
      <c r="DN146" s="87"/>
      <c r="DO146" s="87"/>
      <c r="DP146" s="87"/>
      <c r="DQ146" s="17"/>
      <c r="DR146" s="17"/>
      <c r="DU146" s="5"/>
      <c r="DV146" s="7"/>
    </row>
    <row r="147" spans="5:126">
      <c r="E147" s="39"/>
      <c r="F147" s="48"/>
      <c r="G147" s="4"/>
      <c r="H147" s="7"/>
      <c r="I147" s="48"/>
      <c r="J147" s="4"/>
      <c r="K147" s="7"/>
      <c r="L147" s="54"/>
      <c r="O147" s="46"/>
      <c r="Q147" s="7"/>
      <c r="R147" s="55"/>
      <c r="S147" s="54"/>
      <c r="T147" s="53"/>
      <c r="U147" s="52"/>
      <c r="V147" s="52"/>
      <c r="W147" s="52"/>
      <c r="X147" s="54"/>
      <c r="Y147" s="54"/>
      <c r="Z147" s="53"/>
      <c r="AA147" s="54"/>
      <c r="AB147" s="53"/>
      <c r="AC147" s="5"/>
      <c r="AD147" s="5"/>
      <c r="AE147" s="5"/>
      <c r="AF147" s="7"/>
      <c r="AG147" s="5"/>
      <c r="AH147" s="7"/>
      <c r="AL147" s="7"/>
      <c r="AM147" s="7"/>
      <c r="AO147" s="18"/>
      <c r="AP147" s="4">
        <f t="shared" si="170"/>
        <v>40738</v>
      </c>
      <c r="AQ147" s="36">
        <v>0.72152777777777777</v>
      </c>
      <c r="AR147">
        <v>4000</v>
      </c>
      <c r="AT147" s="4">
        <v>40739</v>
      </c>
      <c r="AU147" s="36">
        <v>0.36458333333333331</v>
      </c>
      <c r="AV147">
        <v>1500</v>
      </c>
      <c r="AX147" s="45">
        <f t="shared" si="175"/>
        <v>3887.6889848812098</v>
      </c>
      <c r="AY147" s="45">
        <f t="shared" si="178"/>
        <v>0</v>
      </c>
      <c r="AZ147" s="7">
        <f t="shared" si="179"/>
        <v>3887.6889848812098</v>
      </c>
      <c r="BA147" s="18">
        <f t="shared" si="180"/>
        <v>1</v>
      </c>
      <c r="BB147" s="6">
        <f t="shared" si="181"/>
        <v>15.433333333333334</v>
      </c>
      <c r="BI147" s="6"/>
      <c r="BJ147" s="99">
        <v>0</v>
      </c>
      <c r="BK147" s="94">
        <v>40739</v>
      </c>
      <c r="BL147" s="12">
        <v>40739</v>
      </c>
      <c r="BM147" s="72"/>
      <c r="BN147" s="18">
        <f t="shared" si="187"/>
        <v>1</v>
      </c>
      <c r="BO147">
        <f t="shared" si="188"/>
        <v>102</v>
      </c>
      <c r="BP147" s="5">
        <f>+BJ147</f>
        <v>0</v>
      </c>
      <c r="BQ147" s="7">
        <f t="shared" si="177"/>
        <v>3727.0588235294108</v>
      </c>
      <c r="BR147" s="7"/>
      <c r="BS147" s="7">
        <f t="shared" si="174"/>
        <v>3727.0588235294108</v>
      </c>
      <c r="BT147">
        <f t="shared" si="172"/>
        <v>3.2</v>
      </c>
      <c r="BU147">
        <f t="shared" si="124"/>
        <v>60</v>
      </c>
      <c r="BV147" s="6">
        <f t="shared" si="182"/>
        <v>223.62352941176465</v>
      </c>
      <c r="BW147" s="6">
        <f t="shared" si="183"/>
        <v>0</v>
      </c>
      <c r="BX147" s="5">
        <f t="shared" si="184"/>
        <v>223.62352941176465</v>
      </c>
      <c r="BY147" s="5">
        <f t="shared" si="185"/>
        <v>69.88235294117645</v>
      </c>
      <c r="BZ147" s="5">
        <f t="shared" si="186"/>
        <v>69.88235294117645</v>
      </c>
      <c r="CA147" s="5"/>
      <c r="CB147" s="7"/>
      <c r="CC147" s="5"/>
      <c r="CD147" s="7"/>
      <c r="CE147" s="7"/>
      <c r="CI147" s="5"/>
      <c r="CJ147" s="5"/>
      <c r="CO147" s="21"/>
      <c r="CQ147" s="6"/>
      <c r="CR147" s="6"/>
      <c r="CT147" s="12"/>
      <c r="CU147" s="7"/>
      <c r="CX147" s="7"/>
      <c r="CZ147" s="21"/>
      <c r="DA147" s="21"/>
      <c r="DB147" s="17"/>
      <c r="DC147" s="127"/>
      <c r="DD147" s="129"/>
      <c r="DE147" s="17"/>
      <c r="DF147" s="128"/>
      <c r="DG147" s="128"/>
      <c r="DH147" s="87"/>
      <c r="DI147" s="17"/>
      <c r="DJ147" s="128"/>
      <c r="DK147" s="87"/>
      <c r="DL147" s="17"/>
      <c r="DM147" s="87"/>
      <c r="DN147" s="87"/>
      <c r="DO147" s="87"/>
      <c r="DP147" s="87"/>
      <c r="DQ147" s="17"/>
      <c r="DR147" s="17"/>
      <c r="DU147" s="5"/>
      <c r="DV147" s="7"/>
    </row>
    <row r="148" spans="5:126">
      <c r="E148" s="39"/>
      <c r="F148" s="48"/>
      <c r="G148" s="4"/>
      <c r="H148" s="7"/>
      <c r="I148" s="48"/>
      <c r="J148" s="4"/>
      <c r="K148" s="7"/>
      <c r="L148" s="54"/>
      <c r="O148" s="46"/>
      <c r="Q148" s="7"/>
      <c r="R148" s="55"/>
      <c r="S148" s="54"/>
      <c r="T148" s="53"/>
      <c r="U148" s="52"/>
      <c r="V148" s="52"/>
      <c r="W148" s="52"/>
      <c r="X148" s="54"/>
      <c r="Y148" s="54"/>
      <c r="Z148" s="53"/>
      <c r="AA148" s="54"/>
      <c r="AB148" s="53"/>
      <c r="AC148" s="5"/>
      <c r="AD148" s="5"/>
      <c r="AE148" s="5"/>
      <c r="AF148" s="7"/>
      <c r="AG148" s="5"/>
      <c r="AH148" s="7"/>
      <c r="AL148" s="7"/>
      <c r="AM148" s="7"/>
      <c r="AO148" s="18"/>
      <c r="AP148" s="4">
        <f t="shared" si="170"/>
        <v>40739</v>
      </c>
      <c r="AQ148" s="36">
        <v>0.84027777777777779</v>
      </c>
      <c r="AR148">
        <v>4000</v>
      </c>
      <c r="AT148" s="4">
        <v>40740</v>
      </c>
      <c r="AU148" s="36">
        <v>0.43055555555555558</v>
      </c>
      <c r="AV148">
        <v>1800</v>
      </c>
      <c r="AX148" s="45">
        <f t="shared" si="175"/>
        <v>3727.0588235294108</v>
      </c>
      <c r="AY148" s="45">
        <f t="shared" si="178"/>
        <v>0</v>
      </c>
      <c r="AZ148" s="7">
        <f t="shared" si="179"/>
        <v>3727.0588235294108</v>
      </c>
      <c r="BA148" s="18">
        <f t="shared" si="180"/>
        <v>1</v>
      </c>
      <c r="BB148" s="6">
        <f t="shared" si="181"/>
        <v>14.16666666666667</v>
      </c>
      <c r="BI148" s="6"/>
      <c r="BJ148" s="99">
        <v>46.736000000000004</v>
      </c>
      <c r="BK148" s="94">
        <v>40740</v>
      </c>
      <c r="BL148" s="12">
        <v>40740</v>
      </c>
      <c r="BM148" s="72"/>
      <c r="BN148" s="18">
        <f t="shared" si="187"/>
        <v>1</v>
      </c>
      <c r="BO148">
        <f t="shared" si="188"/>
        <v>103</v>
      </c>
      <c r="BP148" s="5">
        <f>+BJ148</f>
        <v>46.736000000000004</v>
      </c>
      <c r="BQ148" s="7">
        <f t="shared" si="177"/>
        <v>2781.818181818182</v>
      </c>
      <c r="BR148" s="7"/>
      <c r="BS148" s="7">
        <f t="shared" si="174"/>
        <v>2781.818181818182</v>
      </c>
      <c r="BT148">
        <f t="shared" si="172"/>
        <v>3.2</v>
      </c>
      <c r="BU148">
        <f t="shared" si="124"/>
        <v>60</v>
      </c>
      <c r="BV148" s="6">
        <f t="shared" si="182"/>
        <v>166.90909090909091</v>
      </c>
      <c r="BW148" s="6">
        <f t="shared" si="183"/>
        <v>0</v>
      </c>
      <c r="BX148" s="5">
        <f t="shared" si="184"/>
        <v>166.90909090909091</v>
      </c>
      <c r="BY148" s="5">
        <f t="shared" si="185"/>
        <v>52.159090909090907</v>
      </c>
      <c r="BZ148" s="5">
        <f t="shared" si="186"/>
        <v>52.159090909090907</v>
      </c>
      <c r="CA148" s="5"/>
      <c r="CB148" s="7"/>
      <c r="CC148" s="5"/>
      <c r="CD148" s="7"/>
      <c r="CE148" s="7"/>
      <c r="CK148" s="21"/>
      <c r="CL148" s="21"/>
      <c r="CM148" s="21"/>
      <c r="CN148" s="21"/>
      <c r="CO148" s="21"/>
      <c r="CQ148" s="6"/>
      <c r="CR148" s="6"/>
      <c r="CT148" s="4"/>
      <c r="CU148" s="7"/>
      <c r="CX148" s="7"/>
      <c r="CZ148" s="21"/>
      <c r="DA148" s="21"/>
      <c r="DB148" s="17"/>
      <c r="DC148" s="127"/>
      <c r="DD148" s="129"/>
      <c r="DE148" s="17"/>
      <c r="DF148" s="128"/>
      <c r="DG148" s="128"/>
      <c r="DH148" s="87"/>
      <c r="DI148" s="17"/>
      <c r="DJ148" s="128"/>
      <c r="DK148" s="87"/>
      <c r="DL148" s="17"/>
      <c r="DM148" s="87"/>
      <c r="DN148" s="87"/>
      <c r="DO148" s="87"/>
      <c r="DP148" s="87"/>
      <c r="DQ148" s="17"/>
      <c r="DR148" s="17"/>
      <c r="DU148" s="5"/>
      <c r="DV148" s="7"/>
    </row>
    <row r="149" spans="5:126">
      <c r="E149" s="39"/>
      <c r="F149" s="48"/>
      <c r="G149" s="4"/>
      <c r="H149" s="7"/>
      <c r="I149" s="48"/>
      <c r="J149" s="4"/>
      <c r="K149" s="7"/>
      <c r="L149" s="54"/>
      <c r="O149" s="46"/>
      <c r="Q149" s="7"/>
      <c r="R149" s="55"/>
      <c r="S149" s="54"/>
      <c r="T149" s="53"/>
      <c r="U149" s="52"/>
      <c r="V149" s="52"/>
      <c r="W149" s="52"/>
      <c r="X149" s="54"/>
      <c r="Y149" s="54"/>
      <c r="Z149" s="53"/>
      <c r="AA149" s="54"/>
      <c r="AB149" s="53"/>
      <c r="AC149" s="5"/>
      <c r="AD149" s="5"/>
      <c r="AE149" s="5"/>
      <c r="AF149" s="7"/>
      <c r="AG149" s="5"/>
      <c r="AH149" s="7"/>
      <c r="AL149" s="7"/>
      <c r="AM149" s="7"/>
      <c r="AO149" s="18"/>
      <c r="AP149" s="4">
        <f t="shared" si="170"/>
        <v>40740</v>
      </c>
      <c r="AQ149" s="36">
        <v>0.79166666666666663</v>
      </c>
      <c r="AR149">
        <v>4000</v>
      </c>
      <c r="AT149" s="4">
        <v>40741</v>
      </c>
      <c r="AU149" s="36">
        <v>0.40277777777777773</v>
      </c>
      <c r="AV149">
        <v>2300</v>
      </c>
      <c r="AX149" s="45">
        <f t="shared" si="175"/>
        <v>2781.818181818182</v>
      </c>
      <c r="AY149" s="45">
        <f t="shared" si="178"/>
        <v>0</v>
      </c>
      <c r="AZ149" s="7">
        <f t="shared" si="179"/>
        <v>2781.818181818182</v>
      </c>
      <c r="BA149" s="18">
        <f t="shared" si="180"/>
        <v>1</v>
      </c>
      <c r="BB149" s="6">
        <f t="shared" si="181"/>
        <v>14.666666666666664</v>
      </c>
      <c r="BI149" s="6"/>
      <c r="BJ149" s="99">
        <v>0</v>
      </c>
      <c r="BK149" s="94">
        <v>40741</v>
      </c>
      <c r="BL149" s="12">
        <v>40741</v>
      </c>
      <c r="BM149" s="72"/>
      <c r="BN149" s="18">
        <f t="shared" si="187"/>
        <v>1</v>
      </c>
      <c r="BO149">
        <f t="shared" si="188"/>
        <v>104</v>
      </c>
      <c r="BP149" s="5">
        <f>+BJ149</f>
        <v>0</v>
      </c>
      <c r="BQ149" s="7">
        <f t="shared" si="177"/>
        <v>3215.8808933002488</v>
      </c>
      <c r="BR149" s="7"/>
      <c r="BS149" s="7">
        <f t="shared" si="174"/>
        <v>3215.8808933002488</v>
      </c>
      <c r="BT149">
        <f t="shared" si="172"/>
        <v>3.2</v>
      </c>
      <c r="BU149">
        <f t="shared" si="124"/>
        <v>60</v>
      </c>
      <c r="BV149" s="6">
        <f t="shared" si="182"/>
        <v>192.95285359801491</v>
      </c>
      <c r="BW149" s="6">
        <f t="shared" si="183"/>
        <v>0</v>
      </c>
      <c r="BX149" s="5">
        <f t="shared" si="184"/>
        <v>192.95285359801491</v>
      </c>
      <c r="BY149" s="5">
        <f t="shared" si="185"/>
        <v>60.297766749379655</v>
      </c>
      <c r="BZ149" s="5">
        <f t="shared" si="186"/>
        <v>60.297766749379655</v>
      </c>
      <c r="CA149" s="5"/>
      <c r="CB149" s="7"/>
      <c r="CC149" s="5"/>
      <c r="CD149" s="7"/>
      <c r="CE149" s="7"/>
      <c r="CK149" s="21"/>
      <c r="CL149" s="21"/>
      <c r="CM149" s="21"/>
      <c r="CN149" s="21"/>
      <c r="CO149" s="21"/>
      <c r="CQ149" s="6"/>
      <c r="CR149" s="6"/>
      <c r="CT149" s="4"/>
      <c r="CU149" s="7"/>
      <c r="CX149" s="7"/>
      <c r="CZ149" s="21"/>
      <c r="DA149" s="21"/>
      <c r="DB149" s="17"/>
      <c r="DC149" s="127"/>
      <c r="DD149" s="129"/>
      <c r="DE149" s="17"/>
      <c r="DF149" s="128"/>
      <c r="DG149" s="128"/>
      <c r="DH149" s="87"/>
      <c r="DI149" s="17"/>
      <c r="DJ149" s="128"/>
      <c r="DK149" s="87"/>
      <c r="DL149" s="17"/>
      <c r="DM149" s="87"/>
      <c r="DN149" s="87"/>
      <c r="DO149" s="87"/>
      <c r="DP149" s="87"/>
      <c r="DQ149" s="17"/>
      <c r="DR149" s="17"/>
      <c r="DU149" s="5"/>
      <c r="DV149" s="7"/>
    </row>
    <row r="150" spans="5:126">
      <c r="E150" s="39"/>
      <c r="F150" s="48"/>
      <c r="G150" s="4"/>
      <c r="H150" s="7"/>
      <c r="I150" s="48"/>
      <c r="J150" s="4"/>
      <c r="K150" s="7"/>
      <c r="L150" s="54"/>
      <c r="O150" s="46"/>
      <c r="Q150" s="7"/>
      <c r="R150" s="55"/>
      <c r="S150" s="54"/>
      <c r="T150" s="53"/>
      <c r="U150" s="52"/>
      <c r="V150" s="52"/>
      <c r="W150" s="52"/>
      <c r="X150" s="54"/>
      <c r="Y150" s="54"/>
      <c r="Z150" s="53"/>
      <c r="AA150" s="54"/>
      <c r="AB150" s="53"/>
      <c r="AC150" s="5"/>
      <c r="AD150" s="5"/>
      <c r="AE150" s="5"/>
      <c r="AF150" s="7"/>
      <c r="AG150" s="5"/>
      <c r="AH150" s="7"/>
      <c r="AL150" s="7"/>
      <c r="AM150" s="7"/>
      <c r="AO150" s="18"/>
      <c r="AP150" s="4">
        <f t="shared" ref="AP150:AP181" si="189">+AT149</f>
        <v>40741</v>
      </c>
      <c r="AQ150" s="36">
        <v>0.82638888888888884</v>
      </c>
      <c r="AR150">
        <v>4000</v>
      </c>
      <c r="AT150" s="4">
        <v>40742</v>
      </c>
      <c r="AU150" s="36">
        <v>0.38611111111111113</v>
      </c>
      <c r="AV150">
        <v>2200</v>
      </c>
      <c r="AX150" s="45">
        <f t="shared" si="175"/>
        <v>3215.8808933002488</v>
      </c>
      <c r="AY150" s="45">
        <f t="shared" si="178"/>
        <v>0</v>
      </c>
      <c r="AZ150" s="7">
        <f t="shared" si="179"/>
        <v>3215.8808933002488</v>
      </c>
      <c r="BA150" s="18">
        <f t="shared" si="180"/>
        <v>1</v>
      </c>
      <c r="BB150" s="6">
        <f t="shared" si="181"/>
        <v>13.433333333333332</v>
      </c>
      <c r="BI150" s="6"/>
      <c r="BJ150" s="99">
        <v>0</v>
      </c>
      <c r="BK150" s="94">
        <v>40742</v>
      </c>
      <c r="BL150" s="12">
        <v>40742</v>
      </c>
      <c r="BM150" s="72"/>
      <c r="BN150" s="18">
        <f t="shared" si="187"/>
        <v>1</v>
      </c>
      <c r="BO150">
        <f t="shared" si="188"/>
        <v>105</v>
      </c>
      <c r="BP150" s="5">
        <f>+BJ150</f>
        <v>0</v>
      </c>
      <c r="BQ150" s="7">
        <f>+VLOOKUP(BL150,AP86:AY151,9)</f>
        <v>3686.2745098039222</v>
      </c>
      <c r="BR150" s="7"/>
      <c r="BS150" s="7">
        <f t="shared" si="174"/>
        <v>3686.2745098039222</v>
      </c>
      <c r="BT150">
        <f t="shared" si="172"/>
        <v>3.2</v>
      </c>
      <c r="BU150">
        <f t="shared" si="124"/>
        <v>60</v>
      </c>
      <c r="BV150" s="6">
        <f t="shared" si="182"/>
        <v>221.17647058823533</v>
      </c>
      <c r="BW150" s="6">
        <f t="shared" si="183"/>
        <v>0</v>
      </c>
      <c r="BX150" s="5">
        <f t="shared" si="184"/>
        <v>221.17647058823533</v>
      </c>
      <c r="BY150" s="5">
        <f t="shared" si="185"/>
        <v>69.117647058823536</v>
      </c>
      <c r="BZ150" s="5">
        <f t="shared" si="186"/>
        <v>69.117647058823536</v>
      </c>
      <c r="CA150" s="5"/>
      <c r="CB150" s="7"/>
      <c r="CC150" s="5"/>
      <c r="CD150" s="7"/>
      <c r="CE150" s="7"/>
      <c r="CK150" s="21"/>
      <c r="CL150" s="21"/>
      <c r="CM150" s="21"/>
      <c r="CN150" s="21"/>
      <c r="CO150" s="21"/>
      <c r="CQ150" s="6"/>
      <c r="CR150" s="6"/>
      <c r="CT150" s="4"/>
      <c r="CU150" s="7"/>
      <c r="CX150" s="7"/>
      <c r="CZ150" s="21"/>
      <c r="DA150" s="21"/>
      <c r="DB150" s="17"/>
      <c r="DC150" s="127"/>
      <c r="DD150" s="129"/>
      <c r="DE150" s="17"/>
      <c r="DF150" s="128"/>
      <c r="DG150" s="128"/>
      <c r="DH150" s="87"/>
      <c r="DI150" s="17"/>
      <c r="DJ150" s="128"/>
      <c r="DK150" s="87"/>
      <c r="DL150" s="17"/>
      <c r="DM150" s="87"/>
      <c r="DN150" s="87"/>
      <c r="DO150" s="87"/>
      <c r="DP150" s="87"/>
      <c r="DQ150" s="17"/>
      <c r="DR150" s="17"/>
      <c r="DU150" s="5"/>
      <c r="DV150" s="7"/>
    </row>
    <row r="151" spans="5:126">
      <c r="E151" s="39"/>
      <c r="F151" s="48"/>
      <c r="G151" s="4"/>
      <c r="H151" s="7"/>
      <c r="I151" s="48"/>
      <c r="J151" s="4"/>
      <c r="K151" s="7"/>
      <c r="L151" s="54"/>
      <c r="O151" s="46"/>
      <c r="Q151" s="7"/>
      <c r="R151" s="55"/>
      <c r="S151" s="54"/>
      <c r="T151" s="53"/>
      <c r="U151" s="52"/>
      <c r="V151" s="52"/>
      <c r="W151" s="52"/>
      <c r="X151" s="54"/>
      <c r="Y151" s="54"/>
      <c r="Z151" s="53"/>
      <c r="AA151" s="54"/>
      <c r="AB151" s="53"/>
      <c r="AC151" s="5"/>
      <c r="AD151" s="5"/>
      <c r="AE151" s="5"/>
      <c r="AF151" s="7"/>
      <c r="AG151" s="5"/>
      <c r="AH151" s="7"/>
      <c r="AL151" s="7"/>
      <c r="AM151" s="7"/>
      <c r="AO151" s="18"/>
      <c r="AP151" s="4">
        <f t="shared" si="189"/>
        <v>40742</v>
      </c>
      <c r="AQ151" s="36">
        <v>0.72986111111111107</v>
      </c>
      <c r="AR151">
        <v>3850</v>
      </c>
      <c r="AT151" s="4">
        <v>40743</v>
      </c>
      <c r="AU151" s="36">
        <v>0.36736111111111108</v>
      </c>
      <c r="AV151">
        <v>1500</v>
      </c>
      <c r="AX151" s="45">
        <f t="shared" si="175"/>
        <v>3686.2745098039222</v>
      </c>
      <c r="AY151" s="45">
        <f t="shared" si="178"/>
        <v>0</v>
      </c>
      <c r="AZ151" s="7">
        <f t="shared" si="179"/>
        <v>3686.2745098039222</v>
      </c>
      <c r="BA151" s="18">
        <f t="shared" si="180"/>
        <v>1</v>
      </c>
      <c r="BB151" s="6">
        <f t="shared" si="181"/>
        <v>15.299999999999995</v>
      </c>
      <c r="BI151" s="6"/>
      <c r="BJ151" s="99">
        <v>0</v>
      </c>
      <c r="BK151" s="94">
        <v>40743</v>
      </c>
      <c r="BL151" s="12">
        <v>40743</v>
      </c>
      <c r="BM151" s="72"/>
      <c r="BN151" s="18">
        <f t="shared" si="187"/>
        <v>1</v>
      </c>
      <c r="BO151">
        <f t="shared" si="188"/>
        <v>106</v>
      </c>
      <c r="BP151" s="5">
        <f>+BJ151</f>
        <v>0</v>
      </c>
      <c r="BQ151" s="7">
        <f>+VLOOKUP(BL151,AP87:AY151,9)</f>
        <v>3686.2745098039222</v>
      </c>
      <c r="BR151" s="7"/>
      <c r="BS151" s="7">
        <f t="shared" si="174"/>
        <v>3686.2745098039222</v>
      </c>
      <c r="BT151">
        <f t="shared" si="172"/>
        <v>3.2</v>
      </c>
      <c r="BU151">
        <f t="shared" si="124"/>
        <v>60</v>
      </c>
      <c r="BV151" s="6">
        <f t="shared" si="182"/>
        <v>221.17647058823533</v>
      </c>
      <c r="BW151" s="6">
        <f t="shared" si="183"/>
        <v>0</v>
      </c>
      <c r="BX151" s="5">
        <f t="shared" si="184"/>
        <v>221.17647058823533</v>
      </c>
      <c r="BY151" s="5">
        <f t="shared" si="185"/>
        <v>69.117647058823536</v>
      </c>
      <c r="BZ151" s="5">
        <f t="shared" si="186"/>
        <v>69.117647058823536</v>
      </c>
      <c r="CA151" s="5"/>
      <c r="CB151" s="7"/>
      <c r="CC151" s="5"/>
      <c r="CD151" s="7"/>
      <c r="CE151" s="7"/>
      <c r="CK151" s="21"/>
      <c r="CL151" s="21"/>
      <c r="CM151" s="21"/>
      <c r="CN151" s="21"/>
      <c r="CO151" s="21"/>
      <c r="CQ151" s="6"/>
      <c r="CR151" s="6"/>
      <c r="CT151" s="4"/>
      <c r="CU151" s="7"/>
      <c r="CX151" s="7"/>
      <c r="CZ151" s="21"/>
      <c r="DA151" s="21"/>
      <c r="DB151" s="17"/>
      <c r="DC151" s="127"/>
      <c r="DD151" s="129"/>
      <c r="DE151" s="17"/>
      <c r="DF151" s="128"/>
      <c r="DG151" s="128"/>
      <c r="DH151" s="87"/>
      <c r="DI151" s="17"/>
      <c r="DJ151" s="128"/>
      <c r="DK151" s="87"/>
      <c r="DL151" s="17"/>
      <c r="DM151" s="87"/>
      <c r="DN151" s="87"/>
      <c r="DO151" s="87"/>
      <c r="DP151" s="87"/>
      <c r="DQ151" s="17"/>
      <c r="DR151" s="17"/>
      <c r="DU151" s="5"/>
      <c r="DV151" s="7"/>
    </row>
    <row r="152" spans="5:126">
      <c r="E152" s="39"/>
      <c r="F152" s="48"/>
      <c r="G152" s="4"/>
      <c r="H152" s="7"/>
      <c r="I152" s="48"/>
      <c r="J152" s="4"/>
      <c r="K152" s="7"/>
      <c r="L152" s="54"/>
      <c r="O152" s="46"/>
      <c r="P152" s="4"/>
      <c r="Q152" s="7"/>
      <c r="R152" s="55"/>
      <c r="S152" s="54"/>
      <c r="T152" s="53"/>
      <c r="U152" s="52"/>
      <c r="V152" s="52"/>
      <c r="W152" s="52"/>
      <c r="X152" s="54"/>
      <c r="Y152" s="54"/>
      <c r="Z152" s="53"/>
      <c r="AA152" s="54"/>
      <c r="AB152" s="53"/>
      <c r="AC152" s="5"/>
      <c r="AD152" s="5"/>
      <c r="AE152" s="5"/>
      <c r="AF152" s="7"/>
      <c r="AG152" s="5"/>
      <c r="AH152" s="7"/>
      <c r="AL152" s="7"/>
      <c r="AM152" s="7"/>
      <c r="AO152" s="18"/>
      <c r="AP152" s="4">
        <f t="shared" si="189"/>
        <v>40743</v>
      </c>
      <c r="AQ152" s="36">
        <v>0.70694444444444438</v>
      </c>
      <c r="AR152">
        <v>4000</v>
      </c>
      <c r="AT152" s="4">
        <v>40744</v>
      </c>
      <c r="AU152" s="36">
        <v>0.41111111111111115</v>
      </c>
      <c r="AV152">
        <v>1400</v>
      </c>
      <c r="AX152" s="45">
        <f t="shared" si="175"/>
        <v>3692.3076923076924</v>
      </c>
      <c r="AY152" s="45">
        <f t="shared" si="178"/>
        <v>0</v>
      </c>
      <c r="AZ152" s="7">
        <f t="shared" si="179"/>
        <v>3692.3076923076924</v>
      </c>
      <c r="BA152" s="18">
        <f t="shared" si="180"/>
        <v>1</v>
      </c>
      <c r="BB152" s="6">
        <f t="shared" si="181"/>
        <v>16.900000000000002</v>
      </c>
      <c r="BI152" s="6"/>
      <c r="CA152" s="5"/>
      <c r="CB152" s="7"/>
      <c r="CC152" s="5"/>
      <c r="CD152" s="7"/>
      <c r="CE152" s="7"/>
      <c r="CK152" s="21"/>
      <c r="CL152" s="21"/>
      <c r="CM152" s="21"/>
      <c r="CN152" s="21"/>
      <c r="CO152" s="21"/>
      <c r="CQ152" s="6"/>
      <c r="CR152" s="6"/>
      <c r="CT152" s="4"/>
      <c r="CU152" s="7"/>
      <c r="CX152" s="7"/>
      <c r="CZ152" s="21"/>
      <c r="DA152" s="21"/>
      <c r="DB152" s="17"/>
      <c r="DC152" s="127"/>
      <c r="DD152" s="129"/>
      <c r="DE152" s="17"/>
      <c r="DF152" s="128"/>
      <c r="DG152" s="128"/>
      <c r="DH152" s="87"/>
      <c r="DI152" s="17"/>
      <c r="DJ152" s="128"/>
      <c r="DK152" s="87"/>
      <c r="DL152" s="17"/>
      <c r="DM152" s="87"/>
      <c r="DN152" s="87"/>
      <c r="DO152" s="87"/>
      <c r="DP152" s="87"/>
      <c r="DQ152" s="17"/>
      <c r="DR152" s="17"/>
      <c r="DU152" s="5"/>
      <c r="DV152" s="7"/>
    </row>
    <row r="153" spans="5:126">
      <c r="E153" s="39"/>
      <c r="F153" s="48"/>
      <c r="G153" s="4"/>
      <c r="H153" s="7"/>
      <c r="I153" s="48"/>
      <c r="J153" s="4"/>
      <c r="K153" s="7"/>
      <c r="L153" s="54"/>
      <c r="M153" s="54"/>
      <c r="N153" s="39"/>
      <c r="O153" s="46"/>
      <c r="P153" s="4"/>
      <c r="Q153" s="7"/>
      <c r="R153" s="55"/>
      <c r="S153" s="54"/>
      <c r="T153" s="53"/>
      <c r="U153" s="52"/>
      <c r="V153" s="52"/>
      <c r="W153" s="52"/>
      <c r="X153" s="54"/>
      <c r="Y153" s="54"/>
      <c r="Z153" s="53"/>
      <c r="AA153" s="54"/>
      <c r="AB153" s="53"/>
      <c r="AC153" s="5"/>
      <c r="AD153" s="5"/>
      <c r="AE153" s="5"/>
      <c r="AF153" s="7"/>
      <c r="AG153" s="5"/>
      <c r="AH153" s="7"/>
      <c r="AL153" s="7"/>
      <c r="AM153" s="7"/>
      <c r="AO153" s="18"/>
      <c r="AP153" s="4">
        <f t="shared" si="189"/>
        <v>40744</v>
      </c>
      <c r="AQ153" s="36">
        <v>0.70486111111111116</v>
      </c>
      <c r="AR153">
        <v>4000</v>
      </c>
      <c r="AT153" s="4">
        <v>40745</v>
      </c>
      <c r="AU153" s="36">
        <v>0.37638888888888888</v>
      </c>
      <c r="AV153">
        <v>1800</v>
      </c>
      <c r="AX153" s="45">
        <f t="shared" si="175"/>
        <v>3276.1116856256467</v>
      </c>
      <c r="AY153" s="45">
        <f t="shared" si="178"/>
        <v>0</v>
      </c>
      <c r="AZ153" s="7">
        <f t="shared" si="179"/>
        <v>3276.1116856256467</v>
      </c>
      <c r="BA153" s="18">
        <f t="shared" si="180"/>
        <v>1</v>
      </c>
      <c r="BB153" s="6">
        <f t="shared" si="181"/>
        <v>16.116666666666664</v>
      </c>
      <c r="BI153" s="6"/>
      <c r="BJ153" s="99">
        <v>0</v>
      </c>
      <c r="BK153" s="94">
        <v>40744</v>
      </c>
      <c r="BL153" s="12"/>
      <c r="BM153" s="72"/>
      <c r="BN153" s="18"/>
      <c r="BP153" s="5">
        <f>+BJ153</f>
        <v>0</v>
      </c>
      <c r="BQ153" s="7"/>
      <c r="BR153" s="7"/>
      <c r="BS153" s="7"/>
      <c r="BV153" s="5"/>
      <c r="BX153" s="5"/>
      <c r="BY153" s="5"/>
      <c r="BZ153" s="5"/>
      <c r="CA153" s="5"/>
      <c r="CB153" s="7"/>
      <c r="CC153" s="5"/>
      <c r="CD153" s="7"/>
      <c r="CE153" s="7"/>
      <c r="CK153" s="21"/>
      <c r="CL153" s="21"/>
      <c r="CM153" s="21"/>
      <c r="CN153" s="21"/>
      <c r="CO153" s="21"/>
      <c r="CQ153" s="6"/>
      <c r="CR153" s="6"/>
      <c r="CT153" s="4"/>
      <c r="CU153" s="7"/>
      <c r="CX153" s="7"/>
      <c r="CZ153" s="21"/>
      <c r="DA153" s="21"/>
      <c r="DB153" s="17"/>
      <c r="DC153" s="127"/>
      <c r="DD153" s="129"/>
      <c r="DE153" s="17"/>
      <c r="DF153" s="128"/>
      <c r="DG153" s="128"/>
      <c r="DH153" s="87"/>
      <c r="DI153" s="17"/>
      <c r="DJ153" s="128"/>
      <c r="DK153" s="87"/>
      <c r="DL153" s="17"/>
      <c r="DM153" s="87"/>
      <c r="DN153" s="87"/>
      <c r="DO153" s="87"/>
      <c r="DP153" s="87"/>
      <c r="DQ153" s="17"/>
      <c r="DR153" s="17"/>
      <c r="DU153" s="5"/>
      <c r="DV153" s="7"/>
    </row>
    <row r="154" spans="5:126">
      <c r="E154" s="39"/>
      <c r="F154" s="48"/>
      <c r="G154" s="4"/>
      <c r="H154" s="7"/>
      <c r="I154" s="48"/>
      <c r="J154" s="4"/>
      <c r="K154" s="7"/>
      <c r="L154" s="54"/>
      <c r="M154" s="54"/>
      <c r="N154" s="39"/>
      <c r="O154" s="46"/>
      <c r="P154" s="4"/>
      <c r="Q154" s="7"/>
      <c r="R154" s="55"/>
      <c r="S154" s="54"/>
      <c r="T154" s="53"/>
      <c r="U154" s="52"/>
      <c r="V154" s="52"/>
      <c r="W154" s="52"/>
      <c r="X154" s="54"/>
      <c r="Y154" s="54"/>
      <c r="Z154" s="53"/>
      <c r="AA154" s="54"/>
      <c r="AB154" s="53"/>
      <c r="AC154" s="5"/>
      <c r="AD154" s="5"/>
      <c r="AE154" s="5"/>
      <c r="AF154" s="7"/>
      <c r="AG154" s="5"/>
      <c r="AH154" s="7"/>
      <c r="AL154" s="7"/>
      <c r="AM154" s="7"/>
      <c r="AO154" s="18"/>
      <c r="AP154" s="4">
        <f t="shared" si="189"/>
        <v>40745</v>
      </c>
      <c r="AQ154" s="36">
        <v>0.38819444444444445</v>
      </c>
      <c r="AR154">
        <v>4000</v>
      </c>
      <c r="AT154" s="4">
        <v>40746</v>
      </c>
      <c r="AU154" s="36">
        <v>0.37916666666666665</v>
      </c>
      <c r="AV154">
        <v>1700</v>
      </c>
      <c r="AX154" s="45">
        <f t="shared" si="175"/>
        <v>2320.9530483531885</v>
      </c>
      <c r="AY154" s="45">
        <f t="shared" si="178"/>
        <v>0</v>
      </c>
      <c r="AZ154" s="7">
        <f t="shared" si="179"/>
        <v>2320.9530483531885</v>
      </c>
      <c r="BA154" s="18">
        <f t="shared" si="180"/>
        <v>1</v>
      </c>
      <c r="BB154" s="6">
        <f t="shared" si="181"/>
        <v>23.783333333333335</v>
      </c>
      <c r="BI154" s="6"/>
      <c r="BJ154" s="99">
        <v>0</v>
      </c>
      <c r="BK154" s="94">
        <v>40745</v>
      </c>
      <c r="BL154" s="12"/>
      <c r="BM154" s="72"/>
      <c r="BN154" s="18"/>
      <c r="BP154" s="5">
        <f>+BJ154</f>
        <v>0</v>
      </c>
      <c r="BQ154" s="7"/>
      <c r="BR154" s="7"/>
      <c r="BS154" s="7"/>
      <c r="BV154" s="5"/>
      <c r="BX154" s="5"/>
      <c r="BY154" s="5"/>
      <c r="BZ154" s="5"/>
      <c r="CA154" s="5"/>
      <c r="CB154" s="7"/>
      <c r="CC154" s="5"/>
      <c r="CD154" s="7"/>
      <c r="CE154" s="7"/>
      <c r="CQ154" s="6"/>
      <c r="CR154" s="6"/>
      <c r="CT154" s="4"/>
      <c r="CU154" s="7"/>
      <c r="CX154" s="7"/>
      <c r="DB154" s="17"/>
      <c r="DC154" s="127"/>
      <c r="DD154" s="129"/>
      <c r="DE154" s="17"/>
      <c r="DF154" s="128"/>
      <c r="DG154" s="128"/>
      <c r="DH154" s="87"/>
      <c r="DI154" s="17"/>
      <c r="DJ154" s="128"/>
      <c r="DK154" s="87"/>
      <c r="DL154" s="17"/>
      <c r="DM154" s="87"/>
      <c r="DN154" s="87"/>
      <c r="DO154" s="87"/>
      <c r="DP154" s="87"/>
      <c r="DQ154" s="17"/>
      <c r="DR154" s="17"/>
      <c r="DU154" s="5"/>
      <c r="DV154" s="7"/>
    </row>
    <row r="155" spans="5:126">
      <c r="E155" s="39"/>
      <c r="F155" s="48"/>
      <c r="G155" s="4"/>
      <c r="H155" s="7"/>
      <c r="I155" s="48"/>
      <c r="J155" s="4"/>
      <c r="K155" s="7"/>
      <c r="L155" s="54"/>
      <c r="M155" s="54"/>
      <c r="N155" s="39"/>
      <c r="O155" s="46"/>
      <c r="P155" s="4"/>
      <c r="Q155" s="7"/>
      <c r="R155" s="55"/>
      <c r="S155" s="54"/>
      <c r="T155" s="53"/>
      <c r="U155" s="52"/>
      <c r="V155" s="52"/>
      <c r="W155" s="52"/>
      <c r="X155" s="54"/>
      <c r="Y155" s="54"/>
      <c r="Z155" s="53"/>
      <c r="AA155" s="54"/>
      <c r="AB155" s="53"/>
      <c r="AC155" s="5"/>
      <c r="AD155" s="5"/>
      <c r="AE155" s="5"/>
      <c r="AF155" s="7"/>
      <c r="AG155" s="5"/>
      <c r="AH155" s="7"/>
      <c r="AL155" s="7"/>
      <c r="AM155" s="7"/>
      <c r="AO155" s="18"/>
      <c r="AP155" s="4">
        <f t="shared" si="189"/>
        <v>40746</v>
      </c>
      <c r="AQ155" s="36">
        <v>0.51388888888888895</v>
      </c>
      <c r="AR155">
        <v>3500</v>
      </c>
      <c r="AT155" s="4">
        <v>40747</v>
      </c>
      <c r="AU155" s="36">
        <v>0.43055555555555558</v>
      </c>
      <c r="AV155">
        <v>1500</v>
      </c>
      <c r="AX155" s="45">
        <f t="shared" si="175"/>
        <v>2181.8181818181815</v>
      </c>
      <c r="AY155" s="45">
        <f t="shared" si="178"/>
        <v>0</v>
      </c>
      <c r="AZ155" s="7">
        <f t="shared" si="179"/>
        <v>2181.8181818181815</v>
      </c>
      <c r="BA155" s="18">
        <f t="shared" si="180"/>
        <v>1</v>
      </c>
      <c r="BB155" s="6">
        <f t="shared" si="181"/>
        <v>22.000000000000004</v>
      </c>
      <c r="BI155" s="6"/>
      <c r="BJ155" s="99">
        <v>0</v>
      </c>
      <c r="BK155" s="94">
        <v>40746</v>
      </c>
      <c r="BL155" s="12"/>
      <c r="BM155" s="72"/>
      <c r="BN155" s="18"/>
      <c r="BP155" s="5">
        <f>+BJ155</f>
        <v>0</v>
      </c>
      <c r="BQ155" s="7"/>
      <c r="BR155" s="7"/>
      <c r="BS155" s="7"/>
      <c r="BV155" s="5"/>
      <c r="BX155" s="5"/>
      <c r="BY155" s="5"/>
      <c r="BZ155" s="5"/>
      <c r="CA155" s="5"/>
      <c r="CB155" s="7"/>
      <c r="CC155" s="5"/>
      <c r="CD155" s="7"/>
      <c r="CE155" s="7"/>
      <c r="CQ155" s="6"/>
      <c r="CR155" s="6"/>
      <c r="CT155" s="4"/>
      <c r="CU155" s="7"/>
      <c r="CX155" s="7"/>
      <c r="DB155" s="17"/>
      <c r="DC155" s="127"/>
      <c r="DD155" s="129"/>
      <c r="DE155" s="17"/>
      <c r="DF155" s="128"/>
      <c r="DG155" s="128"/>
      <c r="DH155" s="87"/>
      <c r="DI155" s="17"/>
      <c r="DJ155" s="128"/>
      <c r="DK155" s="87"/>
      <c r="DL155" s="17"/>
      <c r="DM155" s="87"/>
      <c r="DN155" s="87"/>
      <c r="DO155" s="87"/>
      <c r="DP155" s="87"/>
      <c r="DQ155" s="17"/>
      <c r="DR155" s="17"/>
      <c r="DU155" s="5"/>
      <c r="DV155" s="7"/>
    </row>
    <row r="156" spans="5:126">
      <c r="E156" s="39"/>
      <c r="F156" s="48"/>
      <c r="G156" s="4"/>
      <c r="H156" s="7"/>
      <c r="I156" s="39"/>
      <c r="J156" s="46"/>
      <c r="K156" s="4"/>
      <c r="L156" s="7"/>
      <c r="M156" s="54"/>
      <c r="N156" s="39"/>
      <c r="O156" s="46"/>
      <c r="P156" s="4"/>
      <c r="Q156" s="7"/>
      <c r="R156" s="55"/>
      <c r="S156" s="54"/>
      <c r="T156" s="53"/>
      <c r="U156" s="52"/>
      <c r="V156" s="52"/>
      <c r="W156" s="52"/>
      <c r="X156" s="54"/>
      <c r="Y156" s="54"/>
      <c r="Z156" s="53"/>
      <c r="AA156" s="54"/>
      <c r="AB156" s="53"/>
      <c r="AC156" s="5"/>
      <c r="AD156" s="5"/>
      <c r="AE156" s="5"/>
      <c r="AF156" s="7"/>
      <c r="AG156" s="5"/>
      <c r="AH156" s="7"/>
      <c r="AL156" s="7"/>
      <c r="AM156" s="7"/>
      <c r="AO156" s="18"/>
      <c r="AP156" s="4">
        <f t="shared" si="189"/>
        <v>40747</v>
      </c>
      <c r="AQ156" s="36">
        <v>0.84305555555555556</v>
      </c>
      <c r="AR156">
        <v>3700</v>
      </c>
      <c r="AT156" s="4">
        <v>40748</v>
      </c>
      <c r="AU156" s="36">
        <v>0.48680555555555555</v>
      </c>
      <c r="AV156">
        <v>1300</v>
      </c>
      <c r="AX156" s="45">
        <f t="shared" si="175"/>
        <v>3728.155339805824</v>
      </c>
      <c r="AY156" s="45">
        <f t="shared" si="178"/>
        <v>0</v>
      </c>
      <c r="AZ156" s="7">
        <f t="shared" si="179"/>
        <v>3728.155339805824</v>
      </c>
      <c r="BA156" s="18">
        <f t="shared" si="180"/>
        <v>1</v>
      </c>
      <c r="BB156" s="6">
        <f t="shared" si="181"/>
        <v>15.450000000000005</v>
      </c>
      <c r="BI156" s="6"/>
      <c r="BJ156" s="99">
        <v>0</v>
      </c>
      <c r="BK156" s="94">
        <v>40747</v>
      </c>
      <c r="BL156" s="12"/>
      <c r="BM156" s="72"/>
      <c r="BN156" s="18"/>
      <c r="BP156" s="5">
        <f>+BJ156</f>
        <v>0</v>
      </c>
      <c r="BQ156" s="7"/>
      <c r="BR156" s="7"/>
      <c r="BS156" s="7"/>
      <c r="BV156" s="5"/>
      <c r="BX156" s="5"/>
      <c r="BY156" s="5"/>
      <c r="BZ156" s="5"/>
      <c r="CA156" s="5"/>
      <c r="CB156" s="7"/>
      <c r="CC156" s="5"/>
      <c r="CD156" s="7"/>
      <c r="CE156" s="7"/>
      <c r="CQ156" s="6"/>
      <c r="CR156" s="6"/>
      <c r="CT156" s="4"/>
      <c r="CU156" s="7"/>
      <c r="CX156" s="7"/>
      <c r="DB156" s="17"/>
      <c r="DC156" s="127"/>
      <c r="DD156" s="129"/>
      <c r="DE156" s="17"/>
      <c r="DF156" s="128"/>
      <c r="DG156" s="128"/>
      <c r="DH156" s="87"/>
      <c r="DI156" s="17"/>
      <c r="DJ156" s="128"/>
      <c r="DK156" s="87"/>
      <c r="DL156" s="17"/>
      <c r="DM156" s="87"/>
      <c r="DN156" s="87"/>
      <c r="DO156" s="87"/>
      <c r="DP156" s="87"/>
      <c r="DQ156" s="17"/>
      <c r="DR156" s="17"/>
      <c r="DU156" s="5"/>
      <c r="DV156" s="7"/>
    </row>
    <row r="157" spans="5:126">
      <c r="E157" s="39"/>
      <c r="F157" s="48"/>
      <c r="G157" s="4"/>
      <c r="H157" s="7"/>
      <c r="I157" s="39"/>
      <c r="J157" s="46"/>
      <c r="K157" s="4"/>
      <c r="L157" s="7"/>
      <c r="M157" s="54"/>
      <c r="N157" s="39"/>
      <c r="O157" s="46"/>
      <c r="P157" s="4"/>
      <c r="Q157" s="7"/>
      <c r="R157" s="55"/>
      <c r="S157" s="54"/>
      <c r="T157" s="53"/>
      <c r="U157" s="52"/>
      <c r="V157" s="52"/>
      <c r="W157" s="52"/>
      <c r="X157" s="54"/>
      <c r="Y157" s="54"/>
      <c r="Z157" s="53"/>
      <c r="AA157" s="54"/>
      <c r="AB157" s="53"/>
      <c r="AC157" s="5"/>
      <c r="AD157" s="5"/>
      <c r="AE157" s="5"/>
      <c r="AF157" s="7"/>
      <c r="AG157" s="5"/>
      <c r="AH157" s="7"/>
      <c r="AL157" s="7"/>
      <c r="AM157" s="7"/>
      <c r="AO157" s="18"/>
      <c r="AP157" s="4">
        <f t="shared" si="189"/>
        <v>40748</v>
      </c>
      <c r="AQ157" s="36">
        <v>0.84375</v>
      </c>
      <c r="AR157">
        <v>3300</v>
      </c>
      <c r="AT157" s="4">
        <v>40749</v>
      </c>
      <c r="AU157" s="36">
        <v>0.37847222222222227</v>
      </c>
      <c r="AV157">
        <v>1200</v>
      </c>
      <c r="AX157" s="45">
        <f t="shared" si="175"/>
        <v>3927.2727272727261</v>
      </c>
      <c r="AY157" s="45">
        <f t="shared" si="178"/>
        <v>0</v>
      </c>
      <c r="AZ157" s="7">
        <f t="shared" si="179"/>
        <v>3927.2727272727261</v>
      </c>
      <c r="BA157" s="18">
        <f t="shared" si="180"/>
        <v>1</v>
      </c>
      <c r="BB157" s="6">
        <f t="shared" si="181"/>
        <v>12.833333333333336</v>
      </c>
      <c r="BI157" s="6"/>
      <c r="BJ157" s="99">
        <v>0</v>
      </c>
      <c r="BK157" s="94">
        <v>40748</v>
      </c>
      <c r="BL157" s="12"/>
      <c r="BM157" s="72"/>
      <c r="BN157" s="18"/>
      <c r="BP157" s="5">
        <f>+BJ157</f>
        <v>0</v>
      </c>
      <c r="BQ157" s="7"/>
      <c r="BR157" s="7"/>
      <c r="BS157" s="7"/>
      <c r="BV157" s="5"/>
      <c r="BX157" s="5"/>
      <c r="BY157" s="5"/>
      <c r="BZ157" s="5"/>
      <c r="CA157" s="5"/>
      <c r="CB157" s="7"/>
      <c r="CC157" s="5"/>
      <c r="CD157" s="7"/>
      <c r="CE157" s="7"/>
      <c r="CQ157" s="6"/>
      <c r="CR157" s="6"/>
      <c r="CT157" s="4"/>
      <c r="CU157" s="7"/>
      <c r="CX157" s="7"/>
      <c r="DB157" s="17"/>
      <c r="DC157" s="127"/>
      <c r="DD157" s="129"/>
      <c r="DE157" s="17"/>
      <c r="DF157" s="128"/>
      <c r="DG157" s="128"/>
      <c r="DH157" s="87"/>
      <c r="DI157" s="17"/>
      <c r="DJ157" s="128"/>
      <c r="DK157" s="87"/>
      <c r="DL157" s="17"/>
      <c r="DM157" s="87"/>
      <c r="DN157" s="87"/>
      <c r="DO157" s="87"/>
      <c r="DP157" s="87"/>
      <c r="DQ157" s="17"/>
      <c r="DR157" s="17"/>
      <c r="DU157" s="5"/>
      <c r="DV157" s="7"/>
    </row>
    <row r="158" spans="5:126">
      <c r="E158" s="39"/>
      <c r="F158" s="48"/>
      <c r="G158" s="4"/>
      <c r="H158" s="7"/>
      <c r="I158" s="39"/>
      <c r="J158" s="46"/>
      <c r="K158" s="4"/>
      <c r="L158" s="7"/>
      <c r="M158" s="54"/>
      <c r="N158" s="39"/>
      <c r="O158" s="46"/>
      <c r="P158" s="4"/>
      <c r="Q158" s="7"/>
      <c r="R158" s="55"/>
      <c r="S158" s="54"/>
      <c r="T158" s="53"/>
      <c r="U158" s="52"/>
      <c r="V158" s="52"/>
      <c r="W158" s="52"/>
      <c r="X158" s="54"/>
      <c r="Y158" s="54"/>
      <c r="Z158" s="53"/>
      <c r="AA158" s="54"/>
      <c r="AB158" s="53"/>
      <c r="AC158" s="5"/>
      <c r="AD158" s="5"/>
      <c r="AE158" s="5"/>
      <c r="AF158" s="7"/>
      <c r="AG158" s="5"/>
      <c r="AH158" s="7"/>
      <c r="AL158" s="7"/>
      <c r="AM158" s="7"/>
      <c r="AO158" s="18"/>
      <c r="AP158" s="4">
        <f t="shared" si="189"/>
        <v>40749</v>
      </c>
      <c r="AQ158" s="36">
        <v>0.73402777777777783</v>
      </c>
      <c r="AR158">
        <v>4000</v>
      </c>
      <c r="AT158" s="4">
        <v>40750</v>
      </c>
      <c r="AU158" s="36">
        <v>0.375</v>
      </c>
      <c r="AV158">
        <v>1600</v>
      </c>
      <c r="AX158" s="45">
        <f t="shared" si="175"/>
        <v>3744.3120260021669</v>
      </c>
      <c r="AY158" s="45">
        <f t="shared" si="178"/>
        <v>0</v>
      </c>
      <c r="AZ158" s="7">
        <f t="shared" si="179"/>
        <v>3744.3120260021669</v>
      </c>
      <c r="BA158" s="18">
        <f t="shared" si="180"/>
        <v>1</v>
      </c>
      <c r="BB158" s="6">
        <f t="shared" si="181"/>
        <v>15.383333333333333</v>
      </c>
      <c r="BI158" s="6"/>
      <c r="BJ158" s="99">
        <v>44.573999999999998</v>
      </c>
      <c r="BK158" s="94">
        <v>40750</v>
      </c>
      <c r="BL158" s="12"/>
      <c r="BM158" s="72"/>
      <c r="BN158" s="18"/>
      <c r="BP158" s="5"/>
      <c r="BQ158" s="7"/>
      <c r="BR158" s="7"/>
      <c r="BS158" s="7"/>
      <c r="BV158" s="5"/>
      <c r="BX158" s="5"/>
      <c r="BY158" s="5"/>
      <c r="BZ158" s="5"/>
      <c r="CA158" s="5"/>
      <c r="CB158" s="7"/>
      <c r="CC158" s="5"/>
      <c r="CD158" s="7"/>
      <c r="CE158" s="7"/>
      <c r="CQ158" s="6"/>
      <c r="CR158" s="6"/>
      <c r="CT158" s="4"/>
      <c r="CU158" s="7"/>
      <c r="CX158" s="7"/>
      <c r="DB158" s="17"/>
      <c r="DC158" s="127"/>
      <c r="DD158" s="129"/>
      <c r="DE158" s="17"/>
      <c r="DF158" s="128"/>
      <c r="DG158" s="128"/>
      <c r="DH158" s="87"/>
      <c r="DI158" s="17"/>
      <c r="DJ158" s="128"/>
      <c r="DK158" s="87"/>
      <c r="DL158" s="17"/>
      <c r="DM158" s="87"/>
      <c r="DN158" s="87"/>
      <c r="DO158" s="87"/>
      <c r="DP158" s="87"/>
      <c r="DQ158" s="17"/>
      <c r="DR158" s="17"/>
      <c r="DU158" s="5"/>
      <c r="DV158" s="7"/>
    </row>
    <row r="159" spans="5:126">
      <c r="E159" s="39"/>
      <c r="F159" s="48"/>
      <c r="G159" s="4"/>
      <c r="H159" s="7"/>
      <c r="I159" s="39"/>
      <c r="J159" s="46"/>
      <c r="K159" s="4"/>
      <c r="L159" s="7"/>
      <c r="M159" s="54"/>
      <c r="N159" s="39"/>
      <c r="O159" s="46"/>
      <c r="P159" s="4"/>
      <c r="Q159" s="7"/>
      <c r="R159" s="55"/>
      <c r="S159" s="54"/>
      <c r="T159" s="53"/>
      <c r="U159" s="52"/>
      <c r="V159" s="52"/>
      <c r="W159" s="52"/>
      <c r="X159" s="54"/>
      <c r="Y159" s="54"/>
      <c r="Z159" s="53"/>
      <c r="AA159" s="54"/>
      <c r="AB159" s="53"/>
      <c r="AC159" s="5"/>
      <c r="AD159" s="5"/>
      <c r="AE159" s="5"/>
      <c r="AF159" s="7"/>
      <c r="AG159" s="5"/>
      <c r="AH159" s="7"/>
      <c r="AL159" s="7"/>
      <c r="AM159" s="7"/>
      <c r="AO159" s="18"/>
      <c r="AP159" s="4">
        <f t="shared" si="189"/>
        <v>40750</v>
      </c>
      <c r="AQ159" s="36">
        <v>0.72916666666666663</v>
      </c>
      <c r="AR159">
        <v>4000</v>
      </c>
      <c r="AT159" s="4">
        <v>40751</v>
      </c>
      <c r="AU159" s="36">
        <v>0.3888888888888889</v>
      </c>
      <c r="AV159">
        <v>2500</v>
      </c>
      <c r="AX159" s="45">
        <f t="shared" si="175"/>
        <v>2273.6842105263158</v>
      </c>
      <c r="AY159" s="45">
        <f t="shared" si="178"/>
        <v>0</v>
      </c>
      <c r="AZ159" s="7">
        <f t="shared" si="179"/>
        <v>2273.6842105263158</v>
      </c>
      <c r="BA159" s="18">
        <f t="shared" si="180"/>
        <v>1</v>
      </c>
      <c r="BB159" s="6">
        <f t="shared" si="181"/>
        <v>15.833333333333336</v>
      </c>
      <c r="BI159" s="6"/>
      <c r="BJ159" s="99">
        <v>0</v>
      </c>
      <c r="BK159" s="94">
        <v>40753</v>
      </c>
      <c r="BL159" s="12"/>
      <c r="BM159" s="72"/>
      <c r="BN159" s="18"/>
      <c r="BP159" s="5"/>
      <c r="BQ159" s="7"/>
      <c r="BR159" s="7"/>
      <c r="BS159" s="7"/>
      <c r="BV159" s="5"/>
      <c r="BX159" s="5"/>
      <c r="BY159" s="5"/>
      <c r="BZ159" s="5"/>
      <c r="CA159" s="5"/>
      <c r="CB159" s="7"/>
      <c r="CC159" s="5"/>
      <c r="CD159" s="7"/>
      <c r="CE159" s="7"/>
      <c r="CQ159" s="6"/>
      <c r="CR159" s="6"/>
      <c r="CT159" s="4"/>
      <c r="CU159" s="7"/>
      <c r="CX159" s="7"/>
      <c r="DB159" s="17"/>
      <c r="DC159" s="127"/>
      <c r="DD159" s="129"/>
      <c r="DE159" s="17"/>
      <c r="DF159" s="128"/>
      <c r="DG159" s="128"/>
      <c r="DH159" s="87"/>
      <c r="DI159" s="17"/>
      <c r="DJ159" s="128"/>
      <c r="DK159" s="87"/>
      <c r="DL159" s="17"/>
      <c r="DM159" s="87"/>
      <c r="DN159" s="87"/>
      <c r="DO159" s="87"/>
      <c r="DP159" s="87"/>
      <c r="DQ159" s="17"/>
      <c r="DR159" s="17"/>
      <c r="DU159" s="5"/>
      <c r="DV159" s="7"/>
    </row>
    <row r="160" spans="5:126" ht="15.75" thickBot="1">
      <c r="E160" s="39"/>
      <c r="F160" s="48"/>
      <c r="G160" s="4"/>
      <c r="H160" s="7"/>
      <c r="I160" s="39"/>
      <c r="J160" s="46"/>
      <c r="K160" s="4"/>
      <c r="L160" s="7"/>
      <c r="M160" s="54"/>
      <c r="N160" s="39"/>
      <c r="O160" s="46"/>
      <c r="P160" s="4"/>
      <c r="Q160" s="7"/>
      <c r="R160" s="55"/>
      <c r="S160" s="54"/>
      <c r="T160" s="53"/>
      <c r="U160" s="52"/>
      <c r="V160" s="52"/>
      <c r="W160" s="52"/>
      <c r="X160" s="54"/>
      <c r="Y160" s="54"/>
      <c r="Z160" s="53"/>
      <c r="AA160" s="54"/>
      <c r="AB160" s="53"/>
      <c r="AC160" s="5"/>
      <c r="AD160" s="5"/>
      <c r="AE160" s="5"/>
      <c r="AF160" s="7"/>
      <c r="AG160" s="5"/>
      <c r="AH160" s="7"/>
      <c r="AL160" s="7"/>
      <c r="AM160" s="7"/>
      <c r="AO160" s="18"/>
      <c r="AP160" s="4">
        <f t="shared" si="189"/>
        <v>40751</v>
      </c>
      <c r="AQ160" s="36">
        <v>0.77083333333333337</v>
      </c>
      <c r="AR160">
        <v>3000</v>
      </c>
      <c r="AT160" s="4">
        <v>40752</v>
      </c>
      <c r="AU160" s="36">
        <v>0.37777777777777777</v>
      </c>
      <c r="AV160">
        <v>1600</v>
      </c>
      <c r="AX160" s="45">
        <f t="shared" si="175"/>
        <v>2306.6361556064076</v>
      </c>
      <c r="AY160" s="45">
        <f t="shared" si="178"/>
        <v>0</v>
      </c>
      <c r="AZ160" s="7">
        <f t="shared" si="179"/>
        <v>2306.6361556064076</v>
      </c>
      <c r="BA160" s="18">
        <f t="shared" si="180"/>
        <v>1</v>
      </c>
      <c r="BB160" s="6">
        <f t="shared" si="181"/>
        <v>14.566666666666663</v>
      </c>
      <c r="BI160" s="6"/>
      <c r="BJ160" s="100">
        <v>0</v>
      </c>
      <c r="BK160" s="101">
        <v>40755</v>
      </c>
      <c r="BL160" s="102"/>
      <c r="BM160" s="103"/>
      <c r="BN160" s="18"/>
      <c r="BP160" s="5"/>
      <c r="BQ160" s="7"/>
      <c r="BR160" s="7"/>
      <c r="BS160" s="7"/>
      <c r="BV160" s="5"/>
      <c r="BX160" s="5"/>
      <c r="BY160" s="5"/>
      <c r="BZ160" s="5"/>
      <c r="CA160" s="5"/>
      <c r="CB160" s="7"/>
      <c r="CC160" s="5"/>
      <c r="CD160" s="7"/>
      <c r="CE160" s="7"/>
      <c r="CQ160" s="6"/>
      <c r="CR160" s="6"/>
      <c r="CT160" s="4"/>
      <c r="CU160" s="7"/>
      <c r="CX160" s="7"/>
      <c r="DB160" s="17"/>
      <c r="DC160" s="127"/>
      <c r="DD160" s="129"/>
      <c r="DE160" s="17"/>
      <c r="DF160" s="128"/>
      <c r="DG160" s="128"/>
      <c r="DH160" s="87"/>
      <c r="DI160" s="17"/>
      <c r="DJ160" s="128"/>
      <c r="DK160" s="87"/>
      <c r="DL160" s="17"/>
      <c r="DM160" s="87"/>
      <c r="DN160" s="87"/>
      <c r="DO160" s="87"/>
      <c r="DP160" s="87"/>
      <c r="DQ160" s="17"/>
      <c r="DR160" s="17"/>
      <c r="DU160" s="5"/>
      <c r="DV160" s="7"/>
    </row>
    <row r="161" spans="5:126">
      <c r="E161" s="39"/>
      <c r="F161" s="48"/>
      <c r="G161" s="4"/>
      <c r="H161" s="7"/>
      <c r="I161" s="39"/>
      <c r="J161" s="46"/>
      <c r="K161" s="4"/>
      <c r="L161" s="7"/>
      <c r="M161" s="54"/>
      <c r="N161" s="39"/>
      <c r="O161" s="46"/>
      <c r="P161" s="4"/>
      <c r="Q161" s="7"/>
      <c r="R161" s="55"/>
      <c r="S161" s="54"/>
      <c r="T161" s="53"/>
      <c r="U161" s="52"/>
      <c r="V161" s="52"/>
      <c r="W161" s="52"/>
      <c r="X161" s="54"/>
      <c r="Y161" s="54"/>
      <c r="Z161" s="53"/>
      <c r="AA161" s="54"/>
      <c r="AB161" s="53"/>
      <c r="AC161" s="5"/>
      <c r="AD161" s="5"/>
      <c r="AE161" s="5"/>
      <c r="AF161" s="7"/>
      <c r="AG161" s="5"/>
      <c r="AH161" s="7"/>
      <c r="AL161" s="7"/>
      <c r="AM161" s="7"/>
      <c r="AO161" s="18"/>
      <c r="AP161" s="4">
        <f t="shared" si="189"/>
        <v>40752</v>
      </c>
      <c r="AQ161" s="36">
        <v>0.73263888888888884</v>
      </c>
      <c r="AR161">
        <v>3000</v>
      </c>
      <c r="AT161" s="4">
        <v>40753</v>
      </c>
      <c r="AU161" s="36">
        <v>0.41736111111111113</v>
      </c>
      <c r="AV161">
        <v>1900</v>
      </c>
      <c r="AX161" s="45">
        <f t="shared" si="175"/>
        <v>1606.4908722109533</v>
      </c>
      <c r="AY161" s="45">
        <f t="shared" si="178"/>
        <v>0</v>
      </c>
      <c r="AZ161" s="7">
        <f t="shared" si="179"/>
        <v>1606.4908722109533</v>
      </c>
      <c r="BA161" s="18">
        <f t="shared" si="180"/>
        <v>1</v>
      </c>
      <c r="BB161" s="6">
        <f t="shared" si="181"/>
        <v>16.433333333333334</v>
      </c>
      <c r="BI161" s="85"/>
      <c r="BJ161" s="86"/>
      <c r="BK161" s="21"/>
      <c r="BL161" s="12"/>
      <c r="BM161" s="87"/>
      <c r="BN161" s="24"/>
      <c r="BO161" s="21"/>
      <c r="BP161" s="88"/>
      <c r="BQ161" s="89"/>
      <c r="BR161" s="89"/>
      <c r="BS161" s="7"/>
      <c r="BV161" s="5"/>
      <c r="BX161" s="5"/>
      <c r="BY161" s="5"/>
      <c r="BZ161" s="5"/>
      <c r="CA161" s="5"/>
      <c r="CB161" s="7"/>
      <c r="CC161" s="5"/>
      <c r="CD161" s="7"/>
      <c r="CE161" s="7"/>
      <c r="CQ161" s="6"/>
      <c r="CR161" s="6"/>
      <c r="CT161" s="4"/>
      <c r="CU161" s="7"/>
      <c r="CX161" s="7"/>
      <c r="DB161" s="17"/>
      <c r="DC161" s="127"/>
      <c r="DD161" s="129"/>
      <c r="DE161" s="17"/>
      <c r="DF161" s="128"/>
      <c r="DG161" s="128"/>
      <c r="DH161" s="87"/>
      <c r="DI161" s="17"/>
      <c r="DJ161" s="128"/>
      <c r="DK161" s="87"/>
      <c r="DL161" s="17"/>
      <c r="DM161" s="87"/>
      <c r="DN161" s="87"/>
      <c r="DO161" s="87"/>
      <c r="DP161" s="87"/>
      <c r="DQ161" s="17"/>
      <c r="DR161" s="17"/>
      <c r="DU161" s="5"/>
      <c r="DV161" s="7"/>
    </row>
    <row r="162" spans="5:126">
      <c r="E162" s="39"/>
      <c r="F162" s="48"/>
      <c r="G162" s="4"/>
      <c r="H162" s="7"/>
      <c r="I162" s="39"/>
      <c r="J162" s="46"/>
      <c r="K162" s="4"/>
      <c r="L162" s="7"/>
      <c r="N162" s="39"/>
      <c r="O162" s="46"/>
      <c r="P162" s="4"/>
      <c r="Q162" s="7"/>
      <c r="R162" s="55"/>
      <c r="S162" s="54"/>
      <c r="T162" s="53"/>
      <c r="U162" s="52"/>
      <c r="V162" s="52"/>
      <c r="W162" s="52"/>
      <c r="X162" s="54"/>
      <c r="Y162" s="54"/>
      <c r="Z162" s="53"/>
      <c r="AA162" s="54"/>
      <c r="AB162" s="53"/>
      <c r="AC162" s="5"/>
      <c r="AD162" s="5"/>
      <c r="AE162" s="5"/>
      <c r="AF162" s="7"/>
      <c r="AG162" s="5"/>
      <c r="AH162" s="7"/>
      <c r="AL162" s="7"/>
      <c r="AM162" s="7"/>
      <c r="AO162" s="18"/>
      <c r="AP162" s="4">
        <f t="shared" si="189"/>
        <v>40753</v>
      </c>
      <c r="AQ162" s="36">
        <v>0.41388888888888892</v>
      </c>
      <c r="AR162">
        <f>+AV161</f>
        <v>1900</v>
      </c>
      <c r="AT162" s="4">
        <v>40754</v>
      </c>
      <c r="AU162" s="36">
        <v>0.40625</v>
      </c>
      <c r="AV162">
        <v>350</v>
      </c>
      <c r="AX162" s="45">
        <f t="shared" si="175"/>
        <v>1561.9314205738278</v>
      </c>
      <c r="AY162" s="45">
        <f t="shared" si="178"/>
        <v>0</v>
      </c>
      <c r="AZ162" s="7">
        <f t="shared" si="179"/>
        <v>1561.9314205738278</v>
      </c>
      <c r="BA162" s="18">
        <f t="shared" si="180"/>
        <v>1</v>
      </c>
      <c r="BB162" s="6">
        <f t="shared" si="181"/>
        <v>23.816666666666666</v>
      </c>
      <c r="BI162" s="85"/>
      <c r="BJ162" s="86"/>
      <c r="BK162" s="21"/>
      <c r="BL162" s="12"/>
      <c r="BM162" s="87"/>
      <c r="BN162" s="24"/>
      <c r="BO162" s="21"/>
      <c r="BP162" s="88"/>
      <c r="BQ162" s="89"/>
      <c r="BR162" s="89"/>
      <c r="BS162" s="7"/>
      <c r="BV162" s="5"/>
      <c r="BX162" s="5"/>
      <c r="BY162" s="5"/>
      <c r="BZ162" s="5"/>
      <c r="CA162" s="5"/>
      <c r="CB162" s="7"/>
      <c r="CC162" s="5"/>
      <c r="CD162" s="7"/>
      <c r="CE162" s="7"/>
      <c r="CQ162" s="6"/>
      <c r="CR162" s="6"/>
      <c r="CT162" s="4"/>
      <c r="CU162" s="7"/>
      <c r="CX162" s="7"/>
      <c r="DB162" s="17"/>
      <c r="DC162" s="127"/>
      <c r="DD162" s="129"/>
      <c r="DE162" s="17"/>
      <c r="DF162" s="128"/>
      <c r="DG162" s="128"/>
      <c r="DH162" s="87"/>
      <c r="DI162" s="17"/>
      <c r="DJ162" s="128"/>
      <c r="DK162" s="87"/>
      <c r="DL162" s="17"/>
      <c r="DM162" s="87"/>
      <c r="DN162" s="87"/>
      <c r="DO162" s="87"/>
      <c r="DP162" s="87"/>
      <c r="DQ162" s="17"/>
      <c r="DR162" s="17"/>
      <c r="DU162" s="5"/>
      <c r="DV162" s="7"/>
    </row>
    <row r="163" spans="5:126">
      <c r="E163" s="39"/>
      <c r="F163" s="48"/>
      <c r="G163" s="4"/>
      <c r="H163" s="7"/>
      <c r="I163" s="39"/>
      <c r="J163" s="46"/>
      <c r="K163" s="4"/>
      <c r="L163" s="7"/>
      <c r="N163" s="39"/>
      <c r="O163" s="46"/>
      <c r="P163" s="4"/>
      <c r="Q163" s="7"/>
      <c r="R163" s="55"/>
      <c r="S163" s="54"/>
      <c r="T163" s="53"/>
      <c r="U163" s="52"/>
      <c r="V163" s="52"/>
      <c r="W163" s="52"/>
      <c r="X163" s="54"/>
      <c r="Y163" s="54"/>
      <c r="Z163" s="53"/>
      <c r="AA163" s="54"/>
      <c r="AB163" s="53"/>
      <c r="AC163" s="5"/>
      <c r="AD163" s="5"/>
      <c r="AE163" s="5"/>
      <c r="AF163" s="7"/>
      <c r="AG163" s="5"/>
      <c r="AH163" s="7"/>
      <c r="AL163" s="7"/>
      <c r="AM163" s="7"/>
      <c r="AO163" s="18"/>
      <c r="AP163" s="4">
        <f t="shared" si="189"/>
        <v>40754</v>
      </c>
      <c r="AQ163" s="36">
        <f>+AU162</f>
        <v>0.40625</v>
      </c>
      <c r="AR163">
        <v>3000</v>
      </c>
      <c r="AT163" s="4">
        <v>40755</v>
      </c>
      <c r="AU163" s="36">
        <v>0.40208333333333335</v>
      </c>
      <c r="AV163">
        <v>1900</v>
      </c>
      <c r="AX163" s="45">
        <f t="shared" si="175"/>
        <v>1104.6025104602511</v>
      </c>
      <c r="AY163" s="45">
        <f t="shared" si="178"/>
        <v>0</v>
      </c>
      <c r="AZ163" s="7">
        <f t="shared" si="179"/>
        <v>1104.6025104602511</v>
      </c>
      <c r="BA163" s="18">
        <f t="shared" si="180"/>
        <v>1</v>
      </c>
      <c r="BB163" s="6">
        <f t="shared" si="181"/>
        <v>23.9</v>
      </c>
      <c r="BI163" s="85"/>
      <c r="BJ163" s="86"/>
      <c r="BK163" s="21"/>
      <c r="BL163" s="12"/>
      <c r="BM163" s="87"/>
      <c r="BN163" s="24"/>
      <c r="BO163" s="21"/>
      <c r="BP163" s="88"/>
      <c r="BQ163" s="89"/>
      <c r="BR163" s="89"/>
      <c r="BS163" s="7"/>
      <c r="BV163" s="5"/>
      <c r="BX163" s="5"/>
      <c r="BY163" s="5"/>
      <c r="BZ163" s="5"/>
      <c r="CA163" s="5"/>
      <c r="CB163" s="7"/>
      <c r="CC163" s="5"/>
      <c r="CD163" s="7"/>
      <c r="CE163" s="7"/>
      <c r="CQ163" s="6"/>
      <c r="CR163" s="6"/>
      <c r="CT163" s="4"/>
      <c r="CU163" s="7"/>
      <c r="CX163" s="7"/>
      <c r="DB163" s="17"/>
      <c r="DC163" s="127"/>
      <c r="DD163" s="129"/>
      <c r="DE163" s="17"/>
      <c r="DF163" s="128"/>
      <c r="DG163" s="128"/>
      <c r="DH163" s="87"/>
      <c r="DI163" s="17"/>
      <c r="DJ163" s="128"/>
      <c r="DK163" s="87"/>
      <c r="DL163" s="17"/>
      <c r="DM163" s="87"/>
      <c r="DN163" s="87"/>
      <c r="DO163" s="87"/>
      <c r="DP163" s="87"/>
      <c r="DQ163" s="17"/>
      <c r="DR163" s="17"/>
      <c r="DU163" s="5"/>
      <c r="DV163" s="7"/>
    </row>
    <row r="164" spans="5:126">
      <c r="E164" s="39"/>
      <c r="F164" s="48"/>
      <c r="G164" s="4"/>
      <c r="H164" s="7"/>
      <c r="I164" s="39"/>
      <c r="J164" s="46"/>
      <c r="K164" s="4"/>
      <c r="L164" s="7"/>
      <c r="N164" s="39"/>
      <c r="O164" s="46"/>
      <c r="P164" s="4"/>
      <c r="Q164" s="7"/>
      <c r="R164" s="55"/>
      <c r="S164" s="54"/>
      <c r="T164" s="53"/>
      <c r="U164" s="52"/>
      <c r="V164" s="52"/>
      <c r="W164" s="52"/>
      <c r="X164" s="54"/>
      <c r="Y164" s="54"/>
      <c r="Z164" s="53"/>
      <c r="AA164" s="54"/>
      <c r="AB164" s="53"/>
      <c r="AC164" s="5"/>
      <c r="AD164" s="5"/>
      <c r="AE164" s="5"/>
      <c r="AF164" s="7"/>
      <c r="AG164" s="5"/>
      <c r="AH164" s="7"/>
      <c r="AL164" s="7"/>
      <c r="AM164" s="7"/>
      <c r="AO164" s="18"/>
      <c r="AP164" s="4">
        <f t="shared" si="189"/>
        <v>40755</v>
      </c>
      <c r="AQ164" s="36">
        <v>0.77430555555555547</v>
      </c>
      <c r="AR164">
        <v>3100</v>
      </c>
      <c r="AT164" s="4">
        <v>40756</v>
      </c>
      <c r="AU164" s="36">
        <v>0.38541666666666669</v>
      </c>
      <c r="AV164">
        <v>1700</v>
      </c>
      <c r="AX164" s="45">
        <f t="shared" si="175"/>
        <v>2290.909090909091</v>
      </c>
      <c r="AY164" s="45">
        <f t="shared" si="178"/>
        <v>0</v>
      </c>
      <c r="AZ164" s="7">
        <f t="shared" si="179"/>
        <v>2290.909090909091</v>
      </c>
      <c r="BA164" s="18">
        <f t="shared" si="180"/>
        <v>1</v>
      </c>
      <c r="BB164" s="6">
        <f t="shared" si="181"/>
        <v>14.666666666666666</v>
      </c>
      <c r="BI164" s="85"/>
      <c r="BJ164" s="86"/>
      <c r="BK164" s="21"/>
      <c r="BL164" s="12"/>
      <c r="BM164" s="87"/>
      <c r="BN164" s="24"/>
      <c r="BO164" s="21"/>
      <c r="BP164" s="88"/>
      <c r="BQ164" s="89"/>
      <c r="BR164" s="89"/>
      <c r="BS164" s="7"/>
      <c r="BV164" s="5"/>
      <c r="BX164" s="5"/>
      <c r="BY164" s="5"/>
      <c r="BZ164" s="5"/>
      <c r="CA164" s="5"/>
      <c r="CB164" s="7"/>
      <c r="CC164" s="5"/>
      <c r="CD164" s="7"/>
      <c r="CE164" s="7"/>
      <c r="CQ164" s="6"/>
      <c r="CR164" s="6"/>
      <c r="CT164" s="4"/>
      <c r="CU164" s="7"/>
      <c r="CX164" s="7"/>
      <c r="DB164" s="17"/>
      <c r="DC164" s="127"/>
      <c r="DD164" s="129"/>
      <c r="DE164" s="17"/>
      <c r="DF164" s="128"/>
      <c r="DG164" s="128"/>
      <c r="DH164" s="87"/>
      <c r="DI164" s="17"/>
      <c r="DJ164" s="128"/>
      <c r="DK164" s="87"/>
      <c r="DL164" s="17"/>
      <c r="DM164" s="87"/>
      <c r="DN164" s="87"/>
      <c r="DO164" s="87"/>
      <c r="DP164" s="87"/>
      <c r="DQ164" s="17"/>
      <c r="DR164" s="17"/>
      <c r="DU164" s="5"/>
      <c r="DV164" s="7"/>
    </row>
    <row r="165" spans="5:126">
      <c r="E165" s="39"/>
      <c r="F165" s="48"/>
      <c r="G165" s="4"/>
      <c r="H165" s="7"/>
      <c r="I165" s="39"/>
      <c r="J165" s="46"/>
      <c r="K165" s="4"/>
      <c r="L165" s="7"/>
      <c r="N165" s="39"/>
      <c r="O165" s="46"/>
      <c r="P165" s="4"/>
      <c r="Q165" s="7"/>
      <c r="R165" s="55"/>
      <c r="S165" s="54"/>
      <c r="T165" s="53"/>
      <c r="U165" s="52"/>
      <c r="V165" s="52"/>
      <c r="W165" s="52"/>
      <c r="X165" s="54"/>
      <c r="Y165" s="54"/>
      <c r="Z165" s="53"/>
      <c r="AA165" s="54"/>
      <c r="AB165" s="53"/>
      <c r="AC165" s="5"/>
      <c r="AD165" s="5"/>
      <c r="AE165" s="5"/>
      <c r="AF165" s="7"/>
      <c r="AG165" s="5"/>
      <c r="AH165" s="7"/>
      <c r="AL165" s="7"/>
      <c r="AM165" s="7"/>
      <c r="AO165" s="18"/>
      <c r="AP165" s="4">
        <f t="shared" si="189"/>
        <v>40756</v>
      </c>
      <c r="AQ165" s="36">
        <v>0.75</v>
      </c>
      <c r="AR165">
        <v>3000</v>
      </c>
      <c r="AT165" s="4">
        <v>40757</v>
      </c>
      <c r="AU165" s="36">
        <v>0.42638888888888887</v>
      </c>
      <c r="AV165">
        <v>1500</v>
      </c>
      <c r="AX165" s="45">
        <f t="shared" si="175"/>
        <v>2217.6591375770022</v>
      </c>
      <c r="AY165" s="45">
        <f t="shared" si="178"/>
        <v>0</v>
      </c>
      <c r="AZ165" s="7">
        <f t="shared" si="179"/>
        <v>2217.6591375770022</v>
      </c>
      <c r="BA165" s="18">
        <f t="shared" si="180"/>
        <v>1</v>
      </c>
      <c r="BB165" s="6">
        <f t="shared" si="181"/>
        <v>16.233333333333334</v>
      </c>
      <c r="BI165" s="85"/>
      <c r="BJ165" s="86"/>
      <c r="BK165" s="21"/>
      <c r="BL165" s="12"/>
      <c r="BM165" s="87"/>
      <c r="BN165" s="24"/>
      <c r="BO165" s="21"/>
      <c r="BP165" s="88"/>
      <c r="BQ165" s="89"/>
      <c r="BR165" s="89"/>
      <c r="BS165" s="7"/>
      <c r="BV165" s="5"/>
      <c r="BX165" s="5"/>
      <c r="BY165" s="5"/>
      <c r="BZ165" s="5"/>
      <c r="CA165" s="5"/>
      <c r="CB165" s="7"/>
      <c r="CC165" s="5"/>
      <c r="CD165" s="7"/>
      <c r="CE165" s="7"/>
      <c r="CQ165" s="6"/>
      <c r="CR165" s="6"/>
      <c r="CT165" s="4"/>
      <c r="CU165" s="7"/>
      <c r="CX165" s="7"/>
      <c r="DB165" s="17"/>
      <c r="DC165" s="127"/>
      <c r="DD165" s="129"/>
      <c r="DE165" s="17"/>
      <c r="DF165" s="128"/>
      <c r="DG165" s="128"/>
      <c r="DH165" s="87"/>
      <c r="DI165" s="17"/>
      <c r="DJ165" s="128"/>
      <c r="DK165" s="87"/>
      <c r="DL165" s="17"/>
      <c r="DM165" s="87"/>
      <c r="DN165" s="87"/>
      <c r="DO165" s="87"/>
      <c r="DP165" s="87"/>
      <c r="DQ165" s="17"/>
      <c r="DR165" s="17"/>
      <c r="DU165" s="5"/>
      <c r="DV165" s="7"/>
    </row>
    <row r="166" spans="5:126">
      <c r="E166" s="39"/>
      <c r="F166" s="48"/>
      <c r="G166" s="4"/>
      <c r="H166" s="7"/>
      <c r="I166" s="39"/>
      <c r="J166" s="46"/>
      <c r="K166" s="4"/>
      <c r="L166" s="7"/>
      <c r="N166" s="39"/>
      <c r="O166" s="46"/>
      <c r="P166" s="4"/>
      <c r="Q166" s="7"/>
      <c r="R166" s="55"/>
      <c r="S166" s="54"/>
      <c r="T166" s="53"/>
      <c r="U166" s="52"/>
      <c r="V166" s="52"/>
      <c r="W166" s="52"/>
      <c r="X166" s="54"/>
      <c r="Y166" s="54"/>
      <c r="Z166" s="53"/>
      <c r="AA166" s="54"/>
      <c r="AB166" s="53"/>
      <c r="AC166" s="5"/>
      <c r="AD166" s="5"/>
      <c r="AE166" s="5"/>
      <c r="AF166" s="7"/>
      <c r="AG166" s="5"/>
      <c r="AH166" s="7"/>
      <c r="AL166" s="7"/>
      <c r="AM166" s="7"/>
      <c r="AO166" s="18"/>
      <c r="AP166" s="4">
        <f t="shared" si="189"/>
        <v>40757</v>
      </c>
      <c r="AQ166" s="36">
        <v>0.51041666666666663</v>
      </c>
      <c r="AR166">
        <v>3350</v>
      </c>
      <c r="AT166" s="4">
        <v>40758</v>
      </c>
      <c r="AU166" s="36">
        <v>0.38472222222222219</v>
      </c>
      <c r="AV166">
        <v>1200</v>
      </c>
      <c r="AX166" s="45">
        <f t="shared" si="175"/>
        <v>2459.0945194598889</v>
      </c>
      <c r="AY166" s="45">
        <f t="shared" si="178"/>
        <v>0</v>
      </c>
      <c r="AZ166" s="7">
        <f t="shared" si="179"/>
        <v>2459.0945194598889</v>
      </c>
      <c r="BA166" s="18">
        <f t="shared" si="180"/>
        <v>1</v>
      </c>
      <c r="BB166" s="6">
        <f t="shared" si="181"/>
        <v>20.983333333333334</v>
      </c>
      <c r="BI166" s="85"/>
      <c r="BJ166" s="86"/>
      <c r="BK166" s="21"/>
      <c r="BL166" s="12"/>
      <c r="BM166" s="87" t="s">
        <v>128</v>
      </c>
      <c r="BN166" s="24"/>
      <c r="BO166" s="21"/>
      <c r="BP166" s="88"/>
      <c r="BQ166" s="89"/>
      <c r="BR166" s="89"/>
      <c r="BS166" s="7"/>
      <c r="BV166" s="5"/>
      <c r="BX166" s="5"/>
      <c r="BY166" s="5"/>
      <c r="BZ166" s="5"/>
      <c r="CA166" s="5"/>
      <c r="CB166" s="7"/>
      <c r="CC166" s="5"/>
      <c r="CD166" s="7"/>
      <c r="CE166" s="7"/>
      <c r="CQ166" s="6"/>
      <c r="CR166" s="6"/>
      <c r="CT166" s="4"/>
      <c r="CU166" s="7"/>
      <c r="CX166" s="7"/>
      <c r="DB166" s="17"/>
      <c r="DC166" s="127"/>
      <c r="DD166" s="129"/>
      <c r="DE166" s="17"/>
      <c r="DF166" s="128"/>
      <c r="DG166" s="128"/>
      <c r="DH166" s="87"/>
      <c r="DI166" s="17"/>
      <c r="DJ166" s="128"/>
      <c r="DK166" s="87"/>
      <c r="DL166" s="17"/>
      <c r="DM166" s="17"/>
      <c r="DN166" s="17"/>
      <c r="DO166" s="17"/>
      <c r="DP166" s="17"/>
      <c r="DQ166" s="17"/>
      <c r="DR166" s="17"/>
      <c r="DU166" s="5"/>
      <c r="DV166" s="7"/>
    </row>
    <row r="167" spans="5:126">
      <c r="E167" s="39"/>
      <c r="F167" s="48"/>
      <c r="G167" s="4"/>
      <c r="H167" s="7"/>
      <c r="I167" s="39"/>
      <c r="J167" s="46"/>
      <c r="K167" s="4"/>
      <c r="L167" s="7"/>
      <c r="N167" s="39"/>
      <c r="O167" s="46"/>
      <c r="P167" s="4"/>
      <c r="Q167" s="7"/>
      <c r="R167" s="55"/>
      <c r="S167" s="54"/>
      <c r="T167" s="53"/>
      <c r="U167" s="52"/>
      <c r="V167" s="52"/>
      <c r="W167" s="52"/>
      <c r="X167" s="54"/>
      <c r="Y167" s="54"/>
      <c r="Z167" s="53"/>
      <c r="AA167" s="54"/>
      <c r="AB167" s="53"/>
      <c r="AC167" s="5"/>
      <c r="AD167" s="5"/>
      <c r="AE167" s="5"/>
      <c r="AF167" s="7"/>
      <c r="AG167" s="5"/>
      <c r="AH167" s="7"/>
      <c r="AL167" s="7"/>
      <c r="AM167" s="7"/>
      <c r="AO167" s="18"/>
      <c r="AP167" s="4">
        <f t="shared" si="189"/>
        <v>40758</v>
      </c>
      <c r="AQ167" s="36">
        <v>0.3923611111111111</v>
      </c>
      <c r="AR167">
        <v>3500</v>
      </c>
      <c r="AT167" s="4">
        <v>40759</v>
      </c>
      <c r="AU167" s="36">
        <v>0.43124999999999997</v>
      </c>
      <c r="AV167">
        <v>1600</v>
      </c>
      <c r="AX167" s="45">
        <f t="shared" ref="AX167:AX188" si="190">+(AR167-AV167)/BB167*24</f>
        <v>1828.8770053475937</v>
      </c>
      <c r="AY167" s="45">
        <f t="shared" si="178"/>
        <v>0</v>
      </c>
      <c r="AZ167" s="7">
        <f t="shared" si="179"/>
        <v>1828.8770053475937</v>
      </c>
      <c r="BA167" s="18">
        <f t="shared" si="180"/>
        <v>1</v>
      </c>
      <c r="BB167" s="6">
        <f t="shared" si="181"/>
        <v>24.933333333333334</v>
      </c>
      <c r="BI167" s="85"/>
      <c r="BJ167" s="86"/>
      <c r="BK167" s="21"/>
      <c r="BL167" s="12"/>
      <c r="BM167" s="87"/>
      <c r="BN167" s="24"/>
      <c r="BO167" s="21"/>
      <c r="BP167" s="88"/>
      <c r="BQ167" s="89"/>
      <c r="BR167" s="89"/>
      <c r="BS167" s="7"/>
      <c r="BV167" s="5"/>
      <c r="BX167" s="5"/>
      <c r="BY167" s="5"/>
      <c r="BZ167" s="5"/>
      <c r="CA167" s="5"/>
      <c r="CB167" s="7"/>
      <c r="CC167" s="5"/>
      <c r="CD167" s="7"/>
      <c r="CE167" s="7"/>
      <c r="CQ167" s="6"/>
      <c r="CR167" s="6"/>
      <c r="CT167" s="4"/>
      <c r="CU167" s="7"/>
      <c r="CX167" s="7"/>
      <c r="DB167" s="17"/>
      <c r="DC167" s="127"/>
      <c r="DD167" s="129"/>
      <c r="DE167" s="17"/>
      <c r="DF167" s="128"/>
      <c r="DG167" s="128"/>
      <c r="DH167" s="87"/>
      <c r="DI167" s="17"/>
      <c r="DJ167" s="128"/>
      <c r="DK167" s="87"/>
      <c r="DL167" s="17"/>
      <c r="DM167" s="17"/>
      <c r="DN167" s="17"/>
      <c r="DO167" s="17"/>
      <c r="DP167" s="17"/>
      <c r="DQ167" s="17"/>
      <c r="DR167" s="17"/>
      <c r="DU167" s="5"/>
      <c r="DV167" s="7"/>
    </row>
    <row r="168" spans="5:126">
      <c r="E168" s="39"/>
      <c r="F168" s="46"/>
      <c r="G168" s="4"/>
      <c r="H168" s="7"/>
      <c r="I168" s="46"/>
      <c r="J168" s="4"/>
      <c r="K168" s="7"/>
      <c r="N168" s="39"/>
      <c r="O168" s="46"/>
      <c r="P168" s="4"/>
      <c r="Q168" s="7"/>
      <c r="R168" s="55"/>
      <c r="S168" s="54"/>
      <c r="T168" s="53"/>
      <c r="U168" s="52"/>
      <c r="V168" s="52"/>
      <c r="W168" s="52"/>
      <c r="X168" s="54"/>
      <c r="Y168" s="54"/>
      <c r="Z168" s="53"/>
      <c r="AA168" s="54"/>
      <c r="AB168" s="53"/>
      <c r="AC168" s="5"/>
      <c r="AD168" s="5"/>
      <c r="AE168" s="5"/>
      <c r="AF168" s="7"/>
      <c r="AG168" s="5"/>
      <c r="AH168" s="7"/>
      <c r="AL168" s="7"/>
      <c r="AM168" s="7"/>
      <c r="AO168" s="18"/>
      <c r="AP168" s="4">
        <f t="shared" si="189"/>
        <v>40759</v>
      </c>
      <c r="AQ168" s="36">
        <v>0.4381944444444445</v>
      </c>
      <c r="AR168">
        <v>3500</v>
      </c>
      <c r="AT168" s="4">
        <v>40760</v>
      </c>
      <c r="AU168" s="36">
        <v>0.4381944444444445</v>
      </c>
      <c r="AV168">
        <v>1500</v>
      </c>
      <c r="AX168" s="45">
        <f t="shared" si="190"/>
        <v>2000</v>
      </c>
      <c r="AY168" s="45">
        <f t="shared" si="178"/>
        <v>0</v>
      </c>
      <c r="AZ168" s="7">
        <f t="shared" si="179"/>
        <v>2000</v>
      </c>
      <c r="BA168" s="18">
        <f t="shared" si="180"/>
        <v>1</v>
      </c>
      <c r="BB168" s="6">
        <f t="shared" si="181"/>
        <v>24</v>
      </c>
      <c r="BI168" s="85"/>
      <c r="BJ168" s="86"/>
      <c r="BK168" s="21"/>
      <c r="BL168" s="12"/>
      <c r="BM168" s="87"/>
      <c r="BN168" s="24"/>
      <c r="BO168" s="21"/>
      <c r="BP168" s="88"/>
      <c r="BQ168" s="89"/>
      <c r="BR168" s="89"/>
      <c r="BS168" s="7"/>
      <c r="BV168" s="5"/>
      <c r="BX168" s="5"/>
      <c r="BY168" s="5"/>
      <c r="BZ168" s="5"/>
      <c r="CA168" s="5"/>
      <c r="CB168" s="7"/>
      <c r="CC168" s="5"/>
      <c r="CD168" s="7"/>
      <c r="CE168" s="7"/>
      <c r="CQ168" s="6"/>
      <c r="CR168" s="6"/>
      <c r="CT168" s="4"/>
      <c r="CU168" s="7"/>
      <c r="CX168" s="7"/>
      <c r="DB168" s="17"/>
      <c r="DC168" s="127"/>
      <c r="DD168" s="129"/>
      <c r="DE168" s="17"/>
      <c r="DF168" s="128"/>
      <c r="DG168" s="128"/>
      <c r="DH168" s="87"/>
      <c r="DI168" s="17"/>
      <c r="DJ168" s="128"/>
      <c r="DK168" s="87"/>
      <c r="DL168" s="17"/>
      <c r="DM168" s="17"/>
      <c r="DN168" s="17"/>
      <c r="DO168" s="17"/>
      <c r="DP168" s="17"/>
      <c r="DQ168" s="17"/>
      <c r="DR168" s="17"/>
      <c r="DU168" s="5"/>
      <c r="DV168" s="7"/>
    </row>
    <row r="169" spans="5:126">
      <c r="E169" s="39"/>
      <c r="F169" s="46"/>
      <c r="G169" s="4"/>
      <c r="H169" s="7"/>
      <c r="I169" s="46"/>
      <c r="J169" s="4"/>
      <c r="K169" s="7"/>
      <c r="N169" s="39"/>
      <c r="O169" s="46"/>
      <c r="P169" s="4"/>
      <c r="Q169" s="7"/>
      <c r="R169" s="55"/>
      <c r="S169" s="54"/>
      <c r="T169" s="53"/>
      <c r="U169" s="52"/>
      <c r="V169" s="52"/>
      <c r="W169" s="52"/>
      <c r="X169" s="54"/>
      <c r="Y169" s="54"/>
      <c r="Z169" s="53"/>
      <c r="AA169" s="54"/>
      <c r="AB169" s="53"/>
      <c r="AC169" s="5"/>
      <c r="AD169" s="5"/>
      <c r="AE169" s="5"/>
      <c r="AF169" s="7"/>
      <c r="AG169" s="5"/>
      <c r="AH169" s="7"/>
      <c r="AL169" s="7"/>
      <c r="AM169" s="7"/>
      <c r="AO169" s="18"/>
      <c r="AP169" s="4">
        <f t="shared" si="189"/>
        <v>40760</v>
      </c>
      <c r="AQ169" s="36">
        <v>0.77777777777777779</v>
      </c>
      <c r="AR169">
        <v>3600</v>
      </c>
      <c r="AT169" s="4">
        <v>40761</v>
      </c>
      <c r="AU169" s="36">
        <v>0.41875000000000001</v>
      </c>
      <c r="AV169">
        <v>1900</v>
      </c>
      <c r="AX169" s="45">
        <f t="shared" si="190"/>
        <v>2652.2210184182018</v>
      </c>
      <c r="AY169" s="45">
        <f t="shared" si="178"/>
        <v>0</v>
      </c>
      <c r="AZ169" s="7">
        <f t="shared" si="179"/>
        <v>2652.2210184182018</v>
      </c>
      <c r="BA169" s="18">
        <f t="shared" si="180"/>
        <v>1</v>
      </c>
      <c r="BB169" s="6">
        <f t="shared" si="181"/>
        <v>15.383333333333331</v>
      </c>
      <c r="BI169" s="85"/>
      <c r="BJ169" s="21"/>
      <c r="BK169" s="21"/>
      <c r="BL169" s="12"/>
      <c r="BM169" s="90"/>
      <c r="BN169" s="24"/>
      <c r="BO169" s="21"/>
      <c r="BP169" s="88"/>
      <c r="BQ169" s="89"/>
      <c r="BR169" s="89"/>
      <c r="BS169" s="7"/>
      <c r="BV169" s="5"/>
      <c r="BX169" s="5"/>
      <c r="BY169" s="5"/>
      <c r="BZ169" s="5"/>
      <c r="CA169" s="5"/>
      <c r="CB169" s="7"/>
      <c r="CC169" s="5"/>
      <c r="CD169" s="7"/>
      <c r="CE169" s="7"/>
      <c r="CQ169" s="6"/>
      <c r="CR169" s="6"/>
      <c r="CT169" s="4"/>
      <c r="CU169" s="7"/>
      <c r="CX169" s="7"/>
      <c r="DB169" s="17"/>
      <c r="DC169" s="127"/>
      <c r="DD169" s="129"/>
      <c r="DE169" s="17"/>
      <c r="DF169" s="128"/>
      <c r="DG169" s="128"/>
      <c r="DH169" s="87"/>
      <c r="DI169" s="17"/>
      <c r="DJ169" s="128"/>
      <c r="DK169" s="87"/>
      <c r="DL169" s="17"/>
      <c r="DM169" s="17"/>
      <c r="DN169" s="17"/>
      <c r="DO169" s="17"/>
      <c r="DP169" s="17"/>
      <c r="DQ169" s="17"/>
      <c r="DR169" s="17"/>
      <c r="DU169" s="5"/>
      <c r="DV169" s="7"/>
    </row>
    <row r="170" spans="5:126">
      <c r="E170" s="39"/>
      <c r="F170" s="46"/>
      <c r="G170" s="4"/>
      <c r="H170" s="7"/>
      <c r="I170" s="46"/>
      <c r="J170" s="4"/>
      <c r="K170" s="7"/>
      <c r="N170" s="39"/>
      <c r="O170" s="46"/>
      <c r="P170" s="4"/>
      <c r="Q170" s="7"/>
      <c r="R170" s="55"/>
      <c r="S170" s="54"/>
      <c r="T170" s="53"/>
      <c r="U170" s="52"/>
      <c r="V170" s="52"/>
      <c r="W170" s="52"/>
      <c r="X170" s="54"/>
      <c r="Y170" s="54"/>
      <c r="Z170" s="53"/>
      <c r="AA170" s="54"/>
      <c r="AB170" s="53"/>
      <c r="AC170" s="5"/>
      <c r="AD170" s="5"/>
      <c r="AE170" s="5"/>
      <c r="AF170" s="7"/>
      <c r="AG170" s="5"/>
      <c r="AH170" s="7"/>
      <c r="AL170" s="7"/>
      <c r="AM170" s="7"/>
      <c r="AO170" s="18"/>
      <c r="AP170" s="4">
        <f t="shared" si="189"/>
        <v>40761</v>
      </c>
      <c r="AQ170" s="36">
        <v>0.70833333333333337</v>
      </c>
      <c r="AR170">
        <v>3300</v>
      </c>
      <c r="AT170" s="4">
        <v>40762</v>
      </c>
      <c r="AU170" s="36">
        <v>0.42638888888888887</v>
      </c>
      <c r="AV170">
        <v>1650</v>
      </c>
      <c r="AX170" s="45">
        <f t="shared" si="190"/>
        <v>2297.8723404255315</v>
      </c>
      <c r="AY170" s="45">
        <f t="shared" si="178"/>
        <v>0</v>
      </c>
      <c r="AZ170" s="7">
        <f t="shared" si="179"/>
        <v>2297.8723404255315</v>
      </c>
      <c r="BA170" s="18">
        <f t="shared" si="180"/>
        <v>1</v>
      </c>
      <c r="BB170" s="6">
        <f t="shared" si="181"/>
        <v>17.233333333333334</v>
      </c>
      <c r="BI170" s="85"/>
      <c r="BJ170" s="21"/>
      <c r="BK170" s="21"/>
      <c r="BL170" s="12"/>
      <c r="BM170" s="90"/>
      <c r="BN170" s="24"/>
      <c r="BO170" s="21"/>
      <c r="BP170" s="88"/>
      <c r="BQ170" s="89"/>
      <c r="BR170" s="89"/>
      <c r="BS170" s="7"/>
      <c r="BV170" s="5"/>
      <c r="BX170" s="5"/>
      <c r="BY170" s="5"/>
      <c r="BZ170" s="5"/>
      <c r="CA170" s="5"/>
      <c r="CB170" s="7"/>
      <c r="CC170" s="5"/>
      <c r="CD170" s="7"/>
      <c r="CE170" s="7"/>
      <c r="CQ170" s="6"/>
      <c r="CR170" s="6"/>
      <c r="CT170" s="4"/>
      <c r="CU170" s="7"/>
      <c r="CX170" s="7"/>
      <c r="DC170" s="4"/>
      <c r="DD170" s="24"/>
      <c r="DF170" s="6"/>
      <c r="DG170" s="6"/>
      <c r="DH170" s="7"/>
      <c r="DJ170" s="6"/>
      <c r="DK170" s="7"/>
      <c r="DU170" s="5"/>
      <c r="DV170" s="7"/>
    </row>
    <row r="171" spans="5:126">
      <c r="E171" s="39"/>
      <c r="F171" s="46"/>
      <c r="G171" s="4"/>
      <c r="H171" s="7"/>
      <c r="I171" s="46"/>
      <c r="J171" s="4"/>
      <c r="K171" s="7"/>
      <c r="N171" s="39"/>
      <c r="O171" s="46"/>
      <c r="P171" s="4"/>
      <c r="Q171" s="7"/>
      <c r="R171" s="55"/>
      <c r="S171" s="54"/>
      <c r="T171" s="53"/>
      <c r="U171" s="52"/>
      <c r="V171" s="52"/>
      <c r="W171" s="52"/>
      <c r="X171" s="54"/>
      <c r="Y171" s="54"/>
      <c r="Z171" s="53"/>
      <c r="AA171" s="54"/>
      <c r="AB171" s="53"/>
      <c r="AC171" s="5"/>
      <c r="AD171" s="5"/>
      <c r="AE171" s="5"/>
      <c r="AF171" s="7"/>
      <c r="AG171" s="5"/>
      <c r="AH171" s="7"/>
      <c r="AL171" s="7"/>
      <c r="AM171" s="7"/>
      <c r="AO171" s="18"/>
      <c r="AP171" s="4">
        <f t="shared" si="189"/>
        <v>40762</v>
      </c>
      <c r="AQ171" s="36">
        <v>0.43541666666666662</v>
      </c>
      <c r="AR171">
        <v>3500</v>
      </c>
      <c r="AT171" s="4">
        <v>40763</v>
      </c>
      <c r="AU171" s="36">
        <v>0.40069444444444446</v>
      </c>
      <c r="AV171">
        <v>1300</v>
      </c>
      <c r="AX171" s="45">
        <f t="shared" si="190"/>
        <v>2279.1366906474818</v>
      </c>
      <c r="AY171" s="45">
        <f t="shared" si="178"/>
        <v>0</v>
      </c>
      <c r="AZ171" s="7">
        <f t="shared" si="179"/>
        <v>2279.1366906474818</v>
      </c>
      <c r="BA171" s="18">
        <f t="shared" si="180"/>
        <v>1</v>
      </c>
      <c r="BB171" s="6">
        <f t="shared" si="181"/>
        <v>23.166666666666668</v>
      </c>
      <c r="BI171" s="85"/>
      <c r="BJ171" s="21"/>
      <c r="BK171" s="21"/>
      <c r="BL171" s="12"/>
      <c r="BM171" s="90"/>
      <c r="BN171" s="24"/>
      <c r="BO171" s="21"/>
      <c r="BP171" s="88"/>
      <c r="BQ171" s="89"/>
      <c r="BR171" s="89"/>
      <c r="BS171" s="7"/>
      <c r="BV171" s="5"/>
      <c r="BX171" s="5"/>
      <c r="BY171" s="5"/>
      <c r="BZ171" s="5"/>
      <c r="CA171" s="5"/>
      <c r="CB171" s="7"/>
      <c r="CC171" s="5"/>
      <c r="CD171" s="7"/>
      <c r="CE171" s="7"/>
      <c r="CQ171" s="6"/>
      <c r="CR171" s="6"/>
      <c r="CT171" s="4"/>
      <c r="CU171" s="7"/>
      <c r="CX171" s="7"/>
      <c r="DB171" s="46"/>
      <c r="DC171" s="4"/>
      <c r="DD171" s="24"/>
      <c r="DF171" s="6"/>
      <c r="DG171" s="6"/>
      <c r="DH171" s="7"/>
      <c r="DU171" s="5"/>
      <c r="DV171" s="7"/>
    </row>
    <row r="172" spans="5:126">
      <c r="E172" s="39"/>
      <c r="F172" s="46"/>
      <c r="G172" s="4"/>
      <c r="H172" s="7"/>
      <c r="I172" s="46"/>
      <c r="J172" s="4"/>
      <c r="K172" s="7"/>
      <c r="N172" s="39"/>
      <c r="O172" s="46"/>
      <c r="P172" s="4"/>
      <c r="Q172" s="7"/>
      <c r="R172" s="55"/>
      <c r="S172" s="54"/>
      <c r="T172" s="53"/>
      <c r="U172" s="52"/>
      <c r="V172" s="52"/>
      <c r="W172" s="52"/>
      <c r="X172" s="54"/>
      <c r="Y172" s="54"/>
      <c r="Z172" s="53"/>
      <c r="AA172" s="54"/>
      <c r="AB172" s="53"/>
      <c r="AC172" s="5"/>
      <c r="AD172" s="5"/>
      <c r="AE172" s="5"/>
      <c r="AF172" s="7"/>
      <c r="AG172" s="5"/>
      <c r="AH172" s="7"/>
      <c r="AL172" s="7"/>
      <c r="AM172" s="7"/>
      <c r="AO172" s="18"/>
      <c r="AP172" s="4">
        <f t="shared" si="189"/>
        <v>40763</v>
      </c>
      <c r="AQ172" s="36">
        <v>0.40972222222222227</v>
      </c>
      <c r="AR172">
        <v>3500</v>
      </c>
      <c r="AT172" s="4">
        <v>40764</v>
      </c>
      <c r="AU172" s="36">
        <v>0.41250000000000003</v>
      </c>
      <c r="AV172">
        <v>2600</v>
      </c>
      <c r="AX172" s="45">
        <f t="shared" si="190"/>
        <v>897.50692520775624</v>
      </c>
      <c r="AY172" s="45">
        <f t="shared" si="178"/>
        <v>0</v>
      </c>
      <c r="AZ172" s="7">
        <f t="shared" si="179"/>
        <v>897.50692520775624</v>
      </c>
      <c r="BA172" s="18">
        <f t="shared" si="180"/>
        <v>1</v>
      </c>
      <c r="BB172" s="6">
        <f t="shared" si="181"/>
        <v>24.066666666666666</v>
      </c>
      <c r="BI172" s="85"/>
      <c r="BJ172" s="21"/>
      <c r="BK172" s="21"/>
      <c r="BL172" s="12"/>
      <c r="BM172" s="90"/>
      <c r="BN172" s="24"/>
      <c r="BO172" s="21"/>
      <c r="BP172" s="88"/>
      <c r="BQ172" s="89"/>
      <c r="BR172" s="89"/>
      <c r="BS172" s="7"/>
      <c r="BV172" s="5"/>
      <c r="BX172" s="5"/>
      <c r="BY172" s="5"/>
      <c r="BZ172" s="5"/>
      <c r="CA172" s="5"/>
      <c r="CB172" s="7"/>
      <c r="CC172" s="5"/>
      <c r="CD172" s="7"/>
      <c r="CE172" s="7"/>
      <c r="CQ172" s="6"/>
      <c r="CR172" s="6"/>
      <c r="CT172" s="4"/>
      <c r="CU172" s="7"/>
      <c r="CX172" s="7"/>
      <c r="DB172" s="46"/>
      <c r="DC172" s="4"/>
      <c r="DD172" s="24"/>
      <c r="DF172" s="6"/>
      <c r="DG172" s="6"/>
      <c r="DH172" s="7"/>
      <c r="DU172" s="5"/>
      <c r="DV172" s="7"/>
    </row>
    <row r="173" spans="5:126">
      <c r="E173" s="39"/>
      <c r="F173" s="46"/>
      <c r="G173" s="4"/>
      <c r="H173" s="7"/>
      <c r="I173" s="46"/>
      <c r="J173" s="4"/>
      <c r="K173" s="7"/>
      <c r="N173" s="39"/>
      <c r="O173" s="46"/>
      <c r="P173" s="4"/>
      <c r="Q173" s="7"/>
      <c r="R173" s="55"/>
      <c r="S173" s="54"/>
      <c r="T173" s="53"/>
      <c r="U173" s="52"/>
      <c r="V173" s="52"/>
      <c r="W173" s="52"/>
      <c r="X173" s="54"/>
      <c r="Y173" s="54"/>
      <c r="Z173" s="53"/>
      <c r="AA173" s="54"/>
      <c r="AB173" s="53"/>
      <c r="AC173" s="5"/>
      <c r="AD173" s="5"/>
      <c r="AE173" s="5"/>
      <c r="AF173" s="7"/>
      <c r="AG173" s="5"/>
      <c r="AH173" s="7"/>
      <c r="AL173" s="7"/>
      <c r="AM173" s="7"/>
      <c r="AO173" s="18"/>
      <c r="AP173" s="4">
        <f t="shared" si="189"/>
        <v>40764</v>
      </c>
      <c r="AQ173" s="36">
        <f>+AU172</f>
        <v>0.41250000000000003</v>
      </c>
      <c r="AR173">
        <f>+AV172</f>
        <v>2600</v>
      </c>
      <c r="AT173" s="4">
        <v>40765</v>
      </c>
      <c r="AU173" s="36">
        <v>0.41944444444444445</v>
      </c>
      <c r="AV173">
        <v>1600</v>
      </c>
      <c r="AX173" s="45">
        <f t="shared" si="190"/>
        <v>993.10344827586209</v>
      </c>
      <c r="AY173" s="45">
        <f t="shared" si="178"/>
        <v>0</v>
      </c>
      <c r="AZ173" s="7">
        <f t="shared" si="179"/>
        <v>993.10344827586209</v>
      </c>
      <c r="BA173" s="18">
        <f t="shared" si="180"/>
        <v>1</v>
      </c>
      <c r="BB173" s="6">
        <f t="shared" si="181"/>
        <v>24.166666666666664</v>
      </c>
      <c r="BI173" s="85"/>
      <c r="BJ173" s="21"/>
      <c r="BK173" s="21"/>
      <c r="BL173" s="12"/>
      <c r="BM173" s="90"/>
      <c r="BN173" s="24"/>
      <c r="BO173" s="21"/>
      <c r="BP173" s="88"/>
      <c r="BQ173" s="89"/>
      <c r="BR173" s="89"/>
      <c r="BS173" s="7"/>
      <c r="BV173" s="5"/>
      <c r="BX173" s="5"/>
      <c r="BY173" s="5"/>
      <c r="BZ173" s="5"/>
      <c r="CA173" s="5"/>
      <c r="CB173" s="7"/>
      <c r="CC173" s="5"/>
      <c r="CD173" s="7"/>
      <c r="CE173" s="7"/>
      <c r="CQ173" s="6"/>
      <c r="CR173" s="6"/>
      <c r="CT173" s="4"/>
      <c r="CU173" s="7"/>
      <c r="CX173" s="7"/>
      <c r="DB173" s="46"/>
      <c r="DC173" s="4"/>
      <c r="DD173" s="24"/>
      <c r="DF173" s="6"/>
      <c r="DG173" s="6"/>
      <c r="DH173" s="7"/>
      <c r="DU173" s="5"/>
      <c r="DV173" s="7"/>
    </row>
    <row r="174" spans="5:126">
      <c r="E174" s="39"/>
      <c r="F174" s="46"/>
      <c r="G174" s="4"/>
      <c r="H174" s="7"/>
      <c r="I174" s="46"/>
      <c r="J174" s="4"/>
      <c r="K174" s="7"/>
      <c r="N174" s="39"/>
      <c r="O174" s="35"/>
      <c r="P174" s="4"/>
      <c r="Q174" s="7"/>
      <c r="R174" s="55"/>
      <c r="S174" s="54"/>
      <c r="T174" s="53"/>
      <c r="U174" s="52"/>
      <c r="V174" s="52"/>
      <c r="W174" s="52"/>
      <c r="X174" s="54"/>
      <c r="Y174" s="54"/>
      <c r="Z174" s="53"/>
      <c r="AA174" s="54"/>
      <c r="AB174" s="53"/>
      <c r="AC174" s="5"/>
      <c r="AD174" s="5"/>
      <c r="AE174" s="5"/>
      <c r="AF174" s="7"/>
      <c r="AG174" s="5"/>
      <c r="AH174" s="7"/>
      <c r="AL174" s="7"/>
      <c r="AM174" s="7"/>
      <c r="AO174" s="18"/>
      <c r="AP174" s="4">
        <f t="shared" si="189"/>
        <v>40765</v>
      </c>
      <c r="AQ174" s="36">
        <v>0.55902777777777779</v>
      </c>
      <c r="AR174">
        <v>4000</v>
      </c>
      <c r="AT174" s="4">
        <v>40766</v>
      </c>
      <c r="AU174" s="36">
        <v>0.49652777777777773</v>
      </c>
      <c r="AV174">
        <v>4000</v>
      </c>
      <c r="AX174" s="45">
        <f t="shared" si="190"/>
        <v>0</v>
      </c>
      <c r="AY174" s="45">
        <f t="shared" si="178"/>
        <v>0</v>
      </c>
      <c r="AZ174" s="7">
        <f t="shared" si="179"/>
        <v>0</v>
      </c>
      <c r="BA174" s="18">
        <f t="shared" si="180"/>
        <v>1</v>
      </c>
      <c r="BB174" s="6">
        <f t="shared" si="181"/>
        <v>22.499999999999996</v>
      </c>
      <c r="BI174" s="85"/>
      <c r="BJ174" s="21"/>
      <c r="BK174" s="21"/>
      <c r="BL174" s="12"/>
      <c r="BM174" s="90"/>
      <c r="BN174" s="24"/>
      <c r="BO174" s="21"/>
      <c r="BP174" s="88"/>
      <c r="BQ174" s="89"/>
      <c r="BR174" s="89"/>
      <c r="BS174" s="7"/>
      <c r="BV174" s="5"/>
      <c r="BX174" s="5"/>
      <c r="BY174" s="5"/>
      <c r="BZ174" s="5"/>
      <c r="CA174" s="5"/>
      <c r="CB174" s="7"/>
      <c r="CC174" s="5"/>
      <c r="CD174" s="7"/>
      <c r="CE174" s="7"/>
      <c r="CQ174" s="6"/>
      <c r="CR174" s="6"/>
      <c r="CT174" s="4"/>
      <c r="CU174" s="7"/>
      <c r="CX174" s="7"/>
      <c r="DB174" s="46"/>
      <c r="DC174" s="4"/>
      <c r="DD174" s="24"/>
      <c r="DF174" s="6"/>
      <c r="DG174" s="6"/>
      <c r="DH174" s="7"/>
      <c r="DU174" s="5"/>
      <c r="DV174" s="7"/>
    </row>
    <row r="175" spans="5:126">
      <c r="E175" s="39"/>
      <c r="F175" s="46"/>
      <c r="G175" s="4"/>
      <c r="H175" s="7"/>
      <c r="I175" s="46"/>
      <c r="J175" s="4"/>
      <c r="K175" s="7"/>
      <c r="N175" s="39"/>
      <c r="O175" s="35"/>
      <c r="P175" s="4"/>
      <c r="Q175" s="7"/>
      <c r="R175" s="55"/>
      <c r="S175" s="54"/>
      <c r="T175" s="53"/>
      <c r="U175" s="52"/>
      <c r="V175" s="52"/>
      <c r="W175" s="52"/>
      <c r="X175" s="54"/>
      <c r="Y175" s="54"/>
      <c r="Z175" s="53"/>
      <c r="AA175" s="54"/>
      <c r="AB175" s="53"/>
      <c r="AC175" s="5"/>
      <c r="AD175" s="5"/>
      <c r="AE175" s="5"/>
      <c r="AF175" s="7"/>
      <c r="AG175" s="5"/>
      <c r="AH175" s="7"/>
      <c r="AL175" s="7"/>
      <c r="AM175" s="7"/>
      <c r="AO175" s="18"/>
      <c r="AP175" s="4">
        <f t="shared" si="189"/>
        <v>40766</v>
      </c>
      <c r="AQ175" s="36">
        <f t="shared" ref="AQ175:AR180" si="191">+AU174</f>
        <v>0.49652777777777773</v>
      </c>
      <c r="AR175">
        <f t="shared" si="191"/>
        <v>4000</v>
      </c>
      <c r="AT175" s="4">
        <v>40767</v>
      </c>
      <c r="AU175" s="36">
        <v>0.37847222222222227</v>
      </c>
      <c r="AV175">
        <v>3450</v>
      </c>
      <c r="AX175" s="45">
        <f t="shared" si="190"/>
        <v>623.62204724409446</v>
      </c>
      <c r="AY175" s="45">
        <f t="shared" si="178"/>
        <v>0</v>
      </c>
      <c r="AZ175" s="7">
        <f t="shared" si="179"/>
        <v>623.62204724409446</v>
      </c>
      <c r="BA175" s="18">
        <f t="shared" si="180"/>
        <v>1</v>
      </c>
      <c r="BB175" s="6">
        <f t="shared" si="181"/>
        <v>21.166666666666668</v>
      </c>
      <c r="BI175" s="85"/>
      <c r="BJ175" s="21"/>
      <c r="BK175" s="21"/>
      <c r="BL175" s="12"/>
      <c r="BM175" s="90"/>
      <c r="BN175" s="24"/>
      <c r="BO175" s="21"/>
      <c r="BP175" s="88"/>
      <c r="BQ175" s="89"/>
      <c r="BR175" s="89"/>
      <c r="BS175" s="7"/>
      <c r="BV175" s="5"/>
      <c r="BX175" s="5"/>
      <c r="BY175" s="5"/>
      <c r="BZ175" s="5"/>
      <c r="CA175" s="5"/>
      <c r="CB175" s="7"/>
      <c r="CC175" s="5"/>
      <c r="CD175" s="7"/>
      <c r="CE175" s="7"/>
      <c r="CQ175" s="6"/>
      <c r="CR175" s="6"/>
      <c r="CT175" s="4"/>
      <c r="CU175" s="7"/>
      <c r="CX175" s="7"/>
      <c r="DB175" s="46"/>
      <c r="DC175" s="4"/>
      <c r="DD175" s="24"/>
      <c r="DF175" s="6"/>
      <c r="DG175" s="6"/>
      <c r="DH175" s="7"/>
      <c r="DU175" s="5"/>
      <c r="DV175" s="7"/>
    </row>
    <row r="176" spans="5:126">
      <c r="E176" s="39"/>
      <c r="F176" s="46"/>
      <c r="G176" s="4"/>
      <c r="H176" s="7"/>
      <c r="I176" s="46"/>
      <c r="J176" s="4"/>
      <c r="K176" s="7"/>
      <c r="N176" s="39"/>
      <c r="O176" s="35"/>
      <c r="P176" s="4"/>
      <c r="Q176" s="7"/>
      <c r="R176" s="55"/>
      <c r="S176" s="54"/>
      <c r="T176" s="53"/>
      <c r="U176" s="52"/>
      <c r="V176" s="52"/>
      <c r="W176" s="52"/>
      <c r="X176" s="54"/>
      <c r="Y176" s="54"/>
      <c r="Z176" s="53"/>
      <c r="AA176" s="54"/>
      <c r="AB176" s="53"/>
      <c r="AC176" s="5"/>
      <c r="AD176" s="5"/>
      <c r="AE176" s="5"/>
      <c r="AF176" s="7"/>
      <c r="AG176" s="5"/>
      <c r="AH176" s="7"/>
      <c r="AL176" s="7"/>
      <c r="AM176" s="7"/>
      <c r="AO176" s="18"/>
      <c r="AP176" s="4">
        <f t="shared" si="189"/>
        <v>40767</v>
      </c>
      <c r="AQ176" s="36">
        <f t="shared" si="191"/>
        <v>0.37847222222222227</v>
      </c>
      <c r="AR176">
        <f t="shared" si="191"/>
        <v>3450</v>
      </c>
      <c r="AT176" s="4">
        <v>40768</v>
      </c>
      <c r="AU176" s="36">
        <v>0.4826388888888889</v>
      </c>
      <c r="AV176">
        <v>3450</v>
      </c>
      <c r="AX176" s="45">
        <f t="shared" si="190"/>
        <v>0</v>
      </c>
      <c r="AY176" s="45">
        <f t="shared" ref="AY176:AY196" si="192">+(AS176-AW176)/BB176*24</f>
        <v>0</v>
      </c>
      <c r="AZ176" s="7">
        <f t="shared" ref="AZ176:AZ207" si="193">+AY176+AX176</f>
        <v>0</v>
      </c>
      <c r="BA176" s="18">
        <f t="shared" ref="BA176:BA196" si="194">+AT176-AP176</f>
        <v>1</v>
      </c>
      <c r="BB176" s="6">
        <f t="shared" ref="BB176:BB207" si="195">IF(BA176=0,+BA176*24+HOUR(AU176-AQ176)+MINUTE(AU176-AQ176)/60,+HOUR(AU176)+MINUTE(AU176)/60+BA176*24-HOUR(AQ176)-MINUTE(AQ176)/60)</f>
        <v>26.500000000000004</v>
      </c>
      <c r="BI176" s="85"/>
      <c r="BJ176" s="21"/>
      <c r="BK176" s="21"/>
      <c r="BL176" s="12"/>
      <c r="BM176" s="90"/>
      <c r="BN176" s="24"/>
      <c r="BO176" s="21"/>
      <c r="BP176" s="88"/>
      <c r="BQ176" s="89"/>
      <c r="BR176" s="89"/>
      <c r="BS176" s="7"/>
      <c r="BV176" s="5"/>
      <c r="BX176" s="5"/>
      <c r="BY176" s="5"/>
      <c r="BZ176" s="5"/>
      <c r="CA176" s="5"/>
      <c r="CB176" s="7"/>
      <c r="CC176" s="5"/>
      <c r="CD176" s="7"/>
      <c r="CE176" s="7"/>
      <c r="CQ176" s="6"/>
      <c r="CR176" s="6"/>
      <c r="CT176" s="4"/>
      <c r="CU176" s="7"/>
      <c r="CX176" s="7"/>
      <c r="DB176" s="46"/>
      <c r="DC176" s="4"/>
      <c r="DD176" s="24"/>
      <c r="DF176" s="6"/>
      <c r="DG176" s="6"/>
      <c r="DH176" s="7"/>
      <c r="DU176" s="5"/>
      <c r="DV176" s="7"/>
    </row>
    <row r="177" spans="5:126">
      <c r="E177" s="39"/>
      <c r="F177" s="46"/>
      <c r="G177" s="4"/>
      <c r="H177" s="7"/>
      <c r="I177" s="46"/>
      <c r="J177" s="4"/>
      <c r="K177" s="7"/>
      <c r="N177" s="39"/>
      <c r="O177" s="35"/>
      <c r="P177" s="4"/>
      <c r="Q177" s="7"/>
      <c r="R177" s="55"/>
      <c r="S177" s="54"/>
      <c r="T177" s="53"/>
      <c r="U177" s="52"/>
      <c r="V177" s="52"/>
      <c r="W177" s="52"/>
      <c r="X177" s="54"/>
      <c r="Y177" s="54"/>
      <c r="Z177" s="53"/>
      <c r="AA177" s="54"/>
      <c r="AB177" s="53"/>
      <c r="AC177" s="5"/>
      <c r="AD177" s="5"/>
      <c r="AE177" s="5"/>
      <c r="AF177" s="7"/>
      <c r="AG177" s="5"/>
      <c r="AH177" s="7"/>
      <c r="AL177" s="7"/>
      <c r="AM177" s="7"/>
      <c r="AO177" s="18"/>
      <c r="AP177" s="4">
        <f t="shared" si="189"/>
        <v>40768</v>
      </c>
      <c r="AQ177" s="36">
        <f t="shared" si="191"/>
        <v>0.4826388888888889</v>
      </c>
      <c r="AR177">
        <f t="shared" si="191"/>
        <v>3450</v>
      </c>
      <c r="AT177" s="4">
        <v>40769</v>
      </c>
      <c r="AU177" s="36">
        <v>0.125</v>
      </c>
      <c r="AV177">
        <v>3450</v>
      </c>
      <c r="AX177" s="45">
        <f t="shared" si="190"/>
        <v>0</v>
      </c>
      <c r="AY177" s="45">
        <f t="shared" si="192"/>
        <v>0</v>
      </c>
      <c r="AZ177" s="7">
        <f t="shared" si="193"/>
        <v>0</v>
      </c>
      <c r="BA177" s="18">
        <f t="shared" si="194"/>
        <v>1</v>
      </c>
      <c r="BB177" s="6">
        <f t="shared" si="195"/>
        <v>15.416666666666666</v>
      </c>
      <c r="BI177" s="85"/>
      <c r="BJ177" s="21"/>
      <c r="BK177" s="21"/>
      <c r="BL177" s="12"/>
      <c r="BM177" s="90"/>
      <c r="BN177" s="24"/>
      <c r="BO177" s="21"/>
      <c r="BP177" s="88"/>
      <c r="BQ177" s="89"/>
      <c r="BR177" s="89"/>
      <c r="BS177" s="7"/>
      <c r="BV177" s="5"/>
      <c r="BX177" s="5"/>
      <c r="BY177" s="5"/>
      <c r="BZ177" s="5"/>
      <c r="CA177" s="5"/>
      <c r="CB177" s="7"/>
      <c r="CC177" s="5"/>
      <c r="CD177" s="7"/>
      <c r="CE177" s="7"/>
      <c r="CQ177" s="6"/>
      <c r="CR177" s="6"/>
      <c r="CT177" s="4"/>
      <c r="CU177" s="7"/>
      <c r="CX177" s="7"/>
      <c r="DB177" s="46"/>
      <c r="DC177" s="4"/>
      <c r="DD177" s="24"/>
      <c r="DF177" s="6"/>
      <c r="DG177" s="6"/>
      <c r="DH177" s="7"/>
      <c r="DU177" s="5"/>
      <c r="DV177" s="7"/>
    </row>
    <row r="178" spans="5:126">
      <c r="E178" s="39"/>
      <c r="F178" s="46"/>
      <c r="G178" s="4"/>
      <c r="H178" s="7"/>
      <c r="I178" s="46"/>
      <c r="J178" s="4"/>
      <c r="K178" s="7"/>
      <c r="N178" s="39"/>
      <c r="O178" s="35"/>
      <c r="P178" s="4"/>
      <c r="Q178" s="7"/>
      <c r="R178" s="55"/>
      <c r="S178" s="54"/>
      <c r="T178" s="53"/>
      <c r="U178" s="52"/>
      <c r="V178" s="52"/>
      <c r="W178" s="52"/>
      <c r="X178" s="54"/>
      <c r="Y178" s="54"/>
      <c r="Z178" s="53"/>
      <c r="AA178" s="54"/>
      <c r="AB178" s="53"/>
      <c r="AC178" s="5"/>
      <c r="AD178" s="5"/>
      <c r="AE178" s="5"/>
      <c r="AF178" s="7"/>
      <c r="AG178" s="5"/>
      <c r="AH178" s="7"/>
      <c r="AO178" s="18"/>
      <c r="AP178" s="4">
        <f t="shared" si="189"/>
        <v>40769</v>
      </c>
      <c r="AQ178" s="36">
        <f t="shared" si="191"/>
        <v>0.125</v>
      </c>
      <c r="AR178">
        <f t="shared" si="191"/>
        <v>3450</v>
      </c>
      <c r="AT178" s="4">
        <v>40770</v>
      </c>
      <c r="AU178" s="36">
        <v>0.70833333333333337</v>
      </c>
      <c r="AV178">
        <v>3400</v>
      </c>
      <c r="AX178" s="45">
        <f t="shared" si="190"/>
        <v>31.578947368421055</v>
      </c>
      <c r="AY178" s="45">
        <f t="shared" si="192"/>
        <v>0</v>
      </c>
      <c r="AZ178" s="7">
        <f t="shared" si="193"/>
        <v>31.578947368421055</v>
      </c>
      <c r="BA178" s="18">
        <f t="shared" si="194"/>
        <v>1</v>
      </c>
      <c r="BB178" s="6">
        <f t="shared" si="195"/>
        <v>38</v>
      </c>
      <c r="BI178" s="85"/>
      <c r="BJ178" s="21"/>
      <c r="BK178" s="21"/>
      <c r="BL178" s="12"/>
      <c r="BM178" s="90"/>
      <c r="BN178" s="24"/>
      <c r="BO178" s="21"/>
      <c r="BP178" s="88"/>
      <c r="BQ178" s="89"/>
      <c r="BR178" s="89"/>
      <c r="BS178" s="7"/>
      <c r="BV178" s="5"/>
      <c r="BX178" s="5"/>
      <c r="BY178" s="5"/>
      <c r="BZ178" s="5"/>
      <c r="CA178" s="5"/>
      <c r="CB178" s="7"/>
      <c r="CC178" s="5"/>
      <c r="CD178" s="7"/>
      <c r="CE178" s="7"/>
      <c r="CQ178" s="6"/>
      <c r="CR178" s="6"/>
      <c r="CT178" s="4"/>
      <c r="CU178" s="7"/>
      <c r="CX178" s="7"/>
      <c r="DB178" s="46"/>
      <c r="DC178" s="4"/>
      <c r="DD178" s="24"/>
      <c r="DF178" s="6"/>
      <c r="DG178" s="6"/>
      <c r="DH178" s="7"/>
      <c r="DU178" s="5"/>
      <c r="DV178" s="7"/>
    </row>
    <row r="179" spans="5:126">
      <c r="E179" s="39"/>
      <c r="F179" s="46"/>
      <c r="G179" s="4"/>
      <c r="H179" s="7"/>
      <c r="I179" s="46"/>
      <c r="J179" s="4"/>
      <c r="K179" s="7"/>
      <c r="N179" s="39"/>
      <c r="O179" s="35"/>
      <c r="P179" s="4"/>
      <c r="Q179" s="7"/>
      <c r="R179" s="55"/>
      <c r="S179" s="54"/>
      <c r="T179" s="53"/>
      <c r="U179" s="52"/>
      <c r="V179" s="52"/>
      <c r="W179" s="52"/>
      <c r="X179" s="54"/>
      <c r="Y179" s="54"/>
      <c r="Z179" s="53"/>
      <c r="AA179" s="54"/>
      <c r="AB179" s="53"/>
      <c r="AC179" s="5"/>
      <c r="AD179" s="5"/>
      <c r="AE179" s="5"/>
      <c r="AF179" s="7"/>
      <c r="AG179" s="5"/>
      <c r="AH179" s="7"/>
      <c r="AO179" s="18"/>
      <c r="AP179" s="4">
        <f t="shared" si="189"/>
        <v>40770</v>
      </c>
      <c r="AQ179" s="36">
        <f t="shared" si="191"/>
        <v>0.70833333333333337</v>
      </c>
      <c r="AR179">
        <f t="shared" si="191"/>
        <v>3400</v>
      </c>
      <c r="AT179" s="4">
        <v>40771</v>
      </c>
      <c r="AU179" s="36">
        <v>0.45624999999999999</v>
      </c>
      <c r="AV179">
        <v>3400</v>
      </c>
      <c r="AX179" s="45">
        <f t="shared" si="190"/>
        <v>0</v>
      </c>
      <c r="AY179" s="45">
        <f t="shared" si="192"/>
        <v>0</v>
      </c>
      <c r="AZ179" s="7">
        <f t="shared" si="193"/>
        <v>0</v>
      </c>
      <c r="BA179" s="18">
        <f t="shared" si="194"/>
        <v>1</v>
      </c>
      <c r="BB179" s="6">
        <f t="shared" si="195"/>
        <v>17.950000000000003</v>
      </c>
      <c r="BI179" s="85"/>
      <c r="BJ179" s="21"/>
      <c r="BK179" s="21"/>
      <c r="BL179" s="12"/>
      <c r="BM179" s="90"/>
      <c r="BN179" s="24"/>
      <c r="BO179" s="21"/>
      <c r="BP179" s="88"/>
      <c r="BQ179" s="89"/>
      <c r="BR179" s="89"/>
      <c r="BS179" s="7"/>
      <c r="BV179" s="5"/>
      <c r="BX179" s="5"/>
      <c r="BY179" s="5"/>
      <c r="BZ179" s="5"/>
      <c r="CA179" s="5"/>
      <c r="CB179" s="7"/>
      <c r="CC179" s="5"/>
      <c r="CD179" s="7"/>
      <c r="CE179" s="7"/>
      <c r="CQ179" s="6"/>
      <c r="CR179" s="6"/>
      <c r="CT179" s="4"/>
      <c r="CU179" s="7"/>
      <c r="CX179" s="7"/>
      <c r="DB179" s="46"/>
      <c r="DC179" s="4"/>
      <c r="DD179" s="24"/>
      <c r="DF179" s="6"/>
      <c r="DG179" s="6"/>
      <c r="DH179" s="7"/>
      <c r="DU179" s="5"/>
      <c r="DV179" s="7"/>
    </row>
    <row r="180" spans="5:126">
      <c r="E180" s="39"/>
      <c r="F180" s="46"/>
      <c r="G180" s="4"/>
      <c r="H180" s="7"/>
      <c r="N180" s="39"/>
      <c r="O180" s="35"/>
      <c r="P180" s="4"/>
      <c r="Q180" s="7"/>
      <c r="R180" s="55"/>
      <c r="S180" s="54"/>
      <c r="T180" s="53"/>
      <c r="U180" s="52"/>
      <c r="V180" s="52"/>
      <c r="W180" s="52"/>
      <c r="X180" s="54"/>
      <c r="Y180" s="54"/>
      <c r="Z180" s="53"/>
      <c r="AA180" s="54"/>
      <c r="AB180" s="53"/>
      <c r="AC180" s="5"/>
      <c r="AD180" s="5"/>
      <c r="AE180" s="5"/>
      <c r="AF180" s="7"/>
      <c r="AG180" s="5"/>
      <c r="AH180" s="7"/>
      <c r="AO180" s="18"/>
      <c r="AP180" s="4">
        <f t="shared" si="189"/>
        <v>40771</v>
      </c>
      <c r="AQ180" s="36">
        <f t="shared" si="191"/>
        <v>0.45624999999999999</v>
      </c>
      <c r="AR180">
        <f t="shared" si="191"/>
        <v>3400</v>
      </c>
      <c r="AT180" s="4">
        <v>40772</v>
      </c>
      <c r="AU180" s="36">
        <v>0.3756944444444445</v>
      </c>
      <c r="AV180">
        <v>3250</v>
      </c>
      <c r="AX180" s="45">
        <f t="shared" si="190"/>
        <v>163.14199395770393</v>
      </c>
      <c r="AY180" s="45">
        <f t="shared" si="192"/>
        <v>0</v>
      </c>
      <c r="AZ180" s="7">
        <f t="shared" si="193"/>
        <v>163.14199395770393</v>
      </c>
      <c r="BA180" s="18">
        <f t="shared" si="194"/>
        <v>1</v>
      </c>
      <c r="BB180" s="6">
        <f t="shared" si="195"/>
        <v>22.066666666666666</v>
      </c>
      <c r="BI180" s="85"/>
      <c r="BJ180" s="21"/>
      <c r="BK180" s="21"/>
      <c r="BL180" s="12"/>
      <c r="BM180" s="90"/>
      <c r="BN180" s="24"/>
      <c r="BO180" s="21"/>
      <c r="BP180" s="88"/>
      <c r="BQ180" s="89"/>
      <c r="BR180" s="89"/>
      <c r="BS180" s="7"/>
      <c r="BV180" s="5"/>
      <c r="BX180" s="5"/>
      <c r="BY180" s="5"/>
      <c r="BZ180" s="5"/>
      <c r="CA180" s="5"/>
      <c r="CB180" s="7"/>
      <c r="CC180" s="5"/>
      <c r="CD180" s="7"/>
      <c r="CE180" s="7"/>
      <c r="CQ180" s="6"/>
      <c r="CR180" s="6"/>
      <c r="CT180" s="4"/>
      <c r="CU180" s="7"/>
      <c r="CX180" s="7"/>
      <c r="DB180" s="46"/>
      <c r="DC180" s="4"/>
      <c r="DD180" s="24"/>
      <c r="DF180" s="6"/>
      <c r="DG180" s="6"/>
      <c r="DH180" s="7"/>
      <c r="DU180" s="5"/>
      <c r="DV180" s="7"/>
    </row>
    <row r="181" spans="5:126">
      <c r="E181" s="39"/>
      <c r="F181" s="46"/>
      <c r="G181" s="4"/>
      <c r="H181" s="7"/>
      <c r="P181" s="4"/>
      <c r="Q181" s="40"/>
      <c r="R181" s="55"/>
      <c r="S181" s="54"/>
      <c r="T181" s="53"/>
      <c r="U181" s="52"/>
      <c r="V181" s="52"/>
      <c r="W181" s="52"/>
      <c r="X181" s="54"/>
      <c r="Y181" s="54"/>
      <c r="Z181" s="53"/>
      <c r="AA181" s="54"/>
      <c r="AB181" s="53"/>
      <c r="AC181" s="53"/>
      <c r="AD181" s="5"/>
      <c r="AE181" s="5"/>
      <c r="AF181" s="7"/>
      <c r="AG181" s="5"/>
      <c r="AH181" s="7"/>
      <c r="AO181" s="18"/>
      <c r="AP181" s="4">
        <f t="shared" si="189"/>
        <v>40772</v>
      </c>
      <c r="AQ181" s="36">
        <v>0.60069444444444442</v>
      </c>
      <c r="AR181">
        <v>4000</v>
      </c>
      <c r="AT181" s="4">
        <v>40773</v>
      </c>
      <c r="AU181" s="36">
        <v>0.38541666666666669</v>
      </c>
      <c r="AV181">
        <v>3800</v>
      </c>
      <c r="AX181" s="45">
        <f t="shared" si="190"/>
        <v>254.86725663716817</v>
      </c>
      <c r="AY181" s="45">
        <f t="shared" si="192"/>
        <v>0</v>
      </c>
      <c r="AZ181" s="7">
        <f t="shared" si="193"/>
        <v>254.86725663716817</v>
      </c>
      <c r="BA181" s="18">
        <f t="shared" si="194"/>
        <v>1</v>
      </c>
      <c r="BB181" s="6">
        <f t="shared" si="195"/>
        <v>18.833333333333332</v>
      </c>
      <c r="BI181" s="85"/>
      <c r="BJ181" s="21"/>
      <c r="BK181" s="21"/>
      <c r="BL181" s="12"/>
      <c r="BM181" s="90"/>
      <c r="BN181" s="24"/>
      <c r="BO181" s="21"/>
      <c r="BP181" s="88"/>
      <c r="BQ181" s="89"/>
      <c r="BR181" s="89"/>
      <c r="BS181" s="7"/>
      <c r="BV181" s="5"/>
      <c r="BX181" s="5"/>
      <c r="BY181" s="5"/>
      <c r="BZ181" s="5"/>
      <c r="CA181" s="5"/>
      <c r="CB181" s="7"/>
      <c r="CC181" s="5"/>
      <c r="CD181" s="7"/>
      <c r="CE181" s="7"/>
      <c r="CQ181" s="6"/>
      <c r="CR181" s="6"/>
      <c r="CT181" s="4"/>
      <c r="CU181" s="7"/>
      <c r="CX181" s="7"/>
      <c r="DB181" s="46"/>
      <c r="DC181" s="4"/>
      <c r="DD181" s="24"/>
      <c r="DF181" s="6"/>
      <c r="DG181" s="6"/>
      <c r="DH181" s="7"/>
      <c r="DU181" s="5"/>
      <c r="DV181" s="7"/>
    </row>
    <row r="182" spans="5:126">
      <c r="E182" s="39"/>
      <c r="F182" s="46"/>
      <c r="G182" s="4"/>
      <c r="H182" s="7"/>
      <c r="P182" s="4"/>
      <c r="Q182" s="40"/>
      <c r="R182" s="55"/>
      <c r="S182" s="54"/>
      <c r="T182" s="53"/>
      <c r="U182" s="52"/>
      <c r="V182" s="52"/>
      <c r="W182" s="52"/>
      <c r="X182" s="54"/>
      <c r="Y182" s="54"/>
      <c r="Z182" s="53"/>
      <c r="AA182" s="54"/>
      <c r="AB182" s="53"/>
      <c r="AC182" s="53"/>
      <c r="AD182" s="5"/>
      <c r="AE182" s="5"/>
      <c r="AF182" s="7"/>
      <c r="AG182" s="5"/>
      <c r="AH182" s="7"/>
      <c r="AO182" s="18"/>
      <c r="AP182" s="4">
        <f t="shared" ref="AP182:AP196" si="196">+AT181</f>
        <v>40773</v>
      </c>
      <c r="AQ182" s="36">
        <f>+AU181</f>
        <v>0.38541666666666669</v>
      </c>
      <c r="AR182">
        <f>+AV181</f>
        <v>3800</v>
      </c>
      <c r="AT182" s="4">
        <v>40774</v>
      </c>
      <c r="AU182" s="36">
        <v>0.3743055555555555</v>
      </c>
      <c r="AV182">
        <v>3400</v>
      </c>
      <c r="AX182" s="45">
        <f t="shared" si="190"/>
        <v>404.49438202247188</v>
      </c>
      <c r="AY182" s="45">
        <f t="shared" si="192"/>
        <v>0</v>
      </c>
      <c r="AZ182" s="7">
        <f t="shared" si="193"/>
        <v>404.49438202247188</v>
      </c>
      <c r="BA182" s="18">
        <f t="shared" si="194"/>
        <v>1</v>
      </c>
      <c r="BB182" s="6">
        <f t="shared" si="195"/>
        <v>23.733333333333334</v>
      </c>
      <c r="BI182" s="85"/>
      <c r="BJ182" s="21"/>
      <c r="BK182" s="21"/>
      <c r="BL182" s="12"/>
      <c r="BM182" s="90"/>
      <c r="BN182" s="24"/>
      <c r="BO182" s="21"/>
      <c r="BP182" s="88"/>
      <c r="BQ182" s="89"/>
      <c r="BR182" s="89"/>
      <c r="BS182" s="7"/>
      <c r="BV182" s="5"/>
      <c r="BX182" s="5"/>
      <c r="BY182" s="5"/>
      <c r="BZ182" s="5"/>
      <c r="CA182" s="5"/>
      <c r="CB182" s="7"/>
      <c r="CC182" s="5"/>
      <c r="CD182" s="7"/>
      <c r="CE182" s="7"/>
      <c r="CQ182" s="6"/>
      <c r="CR182" s="6"/>
      <c r="CT182" s="4"/>
      <c r="CU182" s="7"/>
      <c r="CX182" s="7"/>
      <c r="DB182" s="46"/>
      <c r="DC182" s="4"/>
      <c r="DD182" s="24"/>
      <c r="DF182" s="6"/>
      <c r="DG182" s="6"/>
      <c r="DH182" s="7"/>
      <c r="DU182" s="5"/>
      <c r="DV182" s="7"/>
    </row>
    <row r="183" spans="5:126">
      <c r="E183" s="39"/>
      <c r="F183" s="46"/>
      <c r="G183" s="4"/>
      <c r="H183" s="7"/>
      <c r="P183" s="4"/>
      <c r="Q183" s="40"/>
      <c r="R183" s="55"/>
      <c r="S183" s="54"/>
      <c r="T183" s="53"/>
      <c r="U183" s="52"/>
      <c r="V183" s="52"/>
      <c r="W183" s="52"/>
      <c r="X183" s="54"/>
      <c r="Y183" s="54"/>
      <c r="Z183" s="53"/>
      <c r="AA183" s="54"/>
      <c r="AB183" s="53"/>
      <c r="AC183" s="53"/>
      <c r="AD183" s="5"/>
      <c r="AE183" s="5"/>
      <c r="AF183" s="7"/>
      <c r="AG183" s="5"/>
      <c r="AH183" s="7"/>
      <c r="AO183" s="18"/>
      <c r="AP183" s="4">
        <f t="shared" si="196"/>
        <v>40774</v>
      </c>
      <c r="AQ183" s="36">
        <v>0.42708333333333331</v>
      </c>
      <c r="AR183">
        <v>4000</v>
      </c>
      <c r="AT183" s="4">
        <v>40775</v>
      </c>
      <c r="AU183" s="36">
        <v>0.38541666666666669</v>
      </c>
      <c r="AV183">
        <v>3800</v>
      </c>
      <c r="AX183" s="45">
        <f t="shared" si="190"/>
        <v>208.69565217391303</v>
      </c>
      <c r="AY183" s="45">
        <f t="shared" si="192"/>
        <v>0</v>
      </c>
      <c r="AZ183" s="7">
        <f t="shared" si="193"/>
        <v>208.69565217391303</v>
      </c>
      <c r="BA183" s="18">
        <f t="shared" si="194"/>
        <v>1</v>
      </c>
      <c r="BB183" s="6">
        <f t="shared" si="195"/>
        <v>23</v>
      </c>
      <c r="BI183" s="85"/>
      <c r="BJ183" s="21"/>
      <c r="BK183" s="21"/>
      <c r="BL183" s="12"/>
      <c r="BM183" s="90"/>
      <c r="BN183" s="24"/>
      <c r="BO183" s="21"/>
      <c r="BP183" s="88"/>
      <c r="BQ183" s="89"/>
      <c r="BR183" s="89"/>
      <c r="BS183" s="7"/>
      <c r="BV183" s="5"/>
      <c r="BX183" s="5"/>
      <c r="BY183" s="5"/>
      <c r="BZ183" s="5"/>
      <c r="CA183" s="5"/>
      <c r="CB183" s="7"/>
      <c r="CC183" s="5"/>
      <c r="CD183" s="7"/>
      <c r="CE183" s="7"/>
      <c r="CQ183" s="6"/>
      <c r="CR183" s="6"/>
      <c r="CT183" s="4"/>
      <c r="CU183" s="7"/>
      <c r="CX183" s="7"/>
      <c r="DB183" s="46"/>
      <c r="DC183" s="4"/>
      <c r="DD183" s="24"/>
      <c r="DF183" s="6"/>
      <c r="DG183" s="6"/>
      <c r="DH183" s="7"/>
      <c r="DU183" s="5"/>
      <c r="DV183" s="7"/>
    </row>
    <row r="184" spans="5:126">
      <c r="E184" s="39"/>
      <c r="F184" s="46"/>
      <c r="G184" s="4"/>
      <c r="H184" s="7"/>
      <c r="P184" s="4"/>
      <c r="Q184" s="40"/>
      <c r="R184" s="55"/>
      <c r="S184" s="54"/>
      <c r="T184" s="53"/>
      <c r="U184" s="52"/>
      <c r="V184" s="52"/>
      <c r="W184" s="52"/>
      <c r="X184" s="54"/>
      <c r="Y184" s="54"/>
      <c r="Z184" s="53"/>
      <c r="AA184" s="54"/>
      <c r="AB184" s="53"/>
      <c r="AC184" s="53"/>
      <c r="AD184" s="5"/>
      <c r="AE184" s="5"/>
      <c r="AF184" s="7"/>
      <c r="AG184" s="5"/>
      <c r="AH184" s="7"/>
      <c r="AO184" s="18"/>
      <c r="AP184" s="4">
        <f t="shared" si="196"/>
        <v>40775</v>
      </c>
      <c r="AQ184" s="36">
        <v>0.67499999999999993</v>
      </c>
      <c r="AR184">
        <f>+AV183</f>
        <v>3800</v>
      </c>
      <c r="AT184" s="4">
        <v>40776</v>
      </c>
      <c r="AU184" s="36">
        <v>0.4861111111111111</v>
      </c>
      <c r="AV184">
        <v>3200</v>
      </c>
      <c r="AX184" s="45">
        <f t="shared" si="190"/>
        <v>739.72602739726028</v>
      </c>
      <c r="AY184" s="45">
        <f t="shared" si="192"/>
        <v>0</v>
      </c>
      <c r="AZ184" s="7">
        <f t="shared" si="193"/>
        <v>739.72602739726028</v>
      </c>
      <c r="BA184" s="18">
        <f t="shared" si="194"/>
        <v>1</v>
      </c>
      <c r="BB184" s="6">
        <f t="shared" si="195"/>
        <v>19.466666666666665</v>
      </c>
      <c r="BI184" s="91"/>
      <c r="BJ184" s="21"/>
      <c r="BK184" s="21"/>
      <c r="BL184" s="12"/>
      <c r="BM184" s="90"/>
      <c r="BN184" s="24"/>
      <c r="BO184" s="21"/>
      <c r="BP184" s="88"/>
      <c r="BQ184" s="89"/>
      <c r="BR184" s="89"/>
      <c r="BS184" s="7"/>
      <c r="BV184" s="5"/>
      <c r="BX184" s="5"/>
      <c r="BY184" s="5"/>
      <c r="BZ184" s="5"/>
      <c r="CA184" s="5"/>
      <c r="CB184" s="7"/>
      <c r="CC184" s="5"/>
      <c r="CD184" s="7"/>
      <c r="CE184" s="7"/>
      <c r="CT184" s="4"/>
      <c r="DB184" s="46"/>
      <c r="DC184" s="4"/>
      <c r="DD184" s="24"/>
      <c r="DF184" s="6"/>
      <c r="DG184" s="6"/>
      <c r="DH184" s="7"/>
      <c r="DU184" s="5"/>
      <c r="DV184" s="7"/>
    </row>
    <row r="185" spans="5:126">
      <c r="E185" s="39"/>
      <c r="F185" s="46"/>
      <c r="G185" s="4"/>
      <c r="H185" s="7"/>
      <c r="P185" s="4"/>
      <c r="Q185" s="40"/>
      <c r="R185" s="55"/>
      <c r="S185" s="54"/>
      <c r="T185" s="53"/>
      <c r="U185" s="52"/>
      <c r="V185" s="52"/>
      <c r="W185" s="52"/>
      <c r="X185" s="54"/>
      <c r="Y185" s="54"/>
      <c r="Z185" s="53"/>
      <c r="AA185" s="54"/>
      <c r="AB185" s="53"/>
      <c r="AC185" s="53"/>
      <c r="AD185" s="5"/>
      <c r="AE185" s="5"/>
      <c r="AF185" s="7"/>
      <c r="AG185" s="5"/>
      <c r="AH185" s="7"/>
      <c r="AO185" s="18"/>
      <c r="AP185" s="4">
        <f t="shared" si="196"/>
        <v>40776</v>
      </c>
      <c r="AQ185" s="36">
        <f>+AU184</f>
        <v>0.4861111111111111</v>
      </c>
      <c r="AR185">
        <f>+AV184</f>
        <v>3200</v>
      </c>
      <c r="AT185" s="4">
        <v>40777</v>
      </c>
      <c r="AU185" s="36">
        <v>0.3840277777777778</v>
      </c>
      <c r="AV185">
        <v>3000</v>
      </c>
      <c r="AX185" s="45">
        <f t="shared" si="190"/>
        <v>222.73781902552204</v>
      </c>
      <c r="AY185" s="45">
        <f t="shared" si="192"/>
        <v>0</v>
      </c>
      <c r="AZ185" s="7">
        <f t="shared" si="193"/>
        <v>222.73781902552204</v>
      </c>
      <c r="BA185" s="18">
        <f t="shared" si="194"/>
        <v>1</v>
      </c>
      <c r="BB185" s="6">
        <f t="shared" si="195"/>
        <v>21.55</v>
      </c>
      <c r="BI185" s="91"/>
      <c r="BJ185" s="21"/>
      <c r="BK185" s="21"/>
      <c r="BL185" s="12"/>
      <c r="BM185" s="90"/>
      <c r="BN185" s="24"/>
      <c r="BO185" s="21"/>
      <c r="BP185" s="88"/>
      <c r="BQ185" s="89"/>
      <c r="BR185" s="89"/>
      <c r="BS185" s="7"/>
      <c r="BV185" s="5"/>
      <c r="BX185" s="5"/>
      <c r="BY185" s="5"/>
      <c r="BZ185" s="5"/>
      <c r="CA185" s="5"/>
      <c r="CB185" s="7"/>
      <c r="CC185" s="5"/>
      <c r="CD185" s="7"/>
      <c r="CE185" s="7"/>
      <c r="CT185" s="4"/>
      <c r="DB185" s="46"/>
      <c r="DC185" s="4"/>
      <c r="DD185" s="24"/>
      <c r="DF185" s="6"/>
      <c r="DG185" s="6"/>
      <c r="DH185" s="7"/>
      <c r="DU185" s="5"/>
      <c r="DV185" s="7"/>
    </row>
    <row r="186" spans="5:126">
      <c r="E186" s="39"/>
      <c r="F186" s="46"/>
      <c r="G186" s="4"/>
      <c r="H186" s="7"/>
      <c r="P186" s="4"/>
      <c r="Q186" s="40"/>
      <c r="R186" s="55"/>
      <c r="S186" s="54"/>
      <c r="T186" s="53"/>
      <c r="U186" s="52"/>
      <c r="V186" s="52"/>
      <c r="W186" s="52"/>
      <c r="X186" s="54"/>
      <c r="Y186" s="54"/>
      <c r="Z186" s="53"/>
      <c r="AA186" s="54"/>
      <c r="AB186" s="53"/>
      <c r="AC186" s="53"/>
      <c r="AD186" s="5"/>
      <c r="AE186" s="5"/>
      <c r="AF186" s="7"/>
      <c r="AG186" s="5"/>
      <c r="AH186" s="7"/>
      <c r="AO186" s="18"/>
      <c r="AP186" s="4">
        <f t="shared" si="196"/>
        <v>40777</v>
      </c>
      <c r="AQ186" s="36">
        <v>0.44444444444444442</v>
      </c>
      <c r="AR186">
        <v>4000</v>
      </c>
      <c r="AT186" s="4">
        <v>40778</v>
      </c>
      <c r="AU186" s="36">
        <v>0.38194444444444442</v>
      </c>
      <c r="AV186">
        <v>3550</v>
      </c>
      <c r="AX186" s="45">
        <f t="shared" si="190"/>
        <v>480.00000000000011</v>
      </c>
      <c r="AY186" s="45">
        <f t="shared" si="192"/>
        <v>0</v>
      </c>
      <c r="AZ186" s="7">
        <f t="shared" si="193"/>
        <v>480.00000000000011</v>
      </c>
      <c r="BA186" s="18">
        <f t="shared" si="194"/>
        <v>1</v>
      </c>
      <c r="BB186" s="6">
        <f t="shared" si="195"/>
        <v>22.499999999999996</v>
      </c>
      <c r="BI186" s="91"/>
      <c r="BJ186" s="21"/>
      <c r="BK186" s="21"/>
      <c r="BL186" s="12"/>
      <c r="BM186" s="90"/>
      <c r="BN186" s="24"/>
      <c r="BO186" s="21"/>
      <c r="BP186" s="88"/>
      <c r="BQ186" s="89"/>
      <c r="BR186" s="89"/>
      <c r="BS186" s="7"/>
      <c r="BV186" s="5"/>
      <c r="BX186" s="5"/>
      <c r="BY186" s="5"/>
      <c r="BZ186" s="5"/>
      <c r="CA186" s="5"/>
      <c r="CB186" s="7"/>
      <c r="CC186" s="5"/>
      <c r="CD186" s="7"/>
      <c r="CE186" s="7"/>
      <c r="DB186" s="46"/>
      <c r="DC186" s="4"/>
      <c r="DD186" s="24"/>
      <c r="DF186" s="6"/>
      <c r="DG186" s="6"/>
      <c r="DH186" s="7"/>
      <c r="DU186" s="5"/>
      <c r="DV186" s="7"/>
    </row>
    <row r="187" spans="5:126">
      <c r="E187" s="39"/>
      <c r="F187" s="46"/>
      <c r="G187" s="4"/>
      <c r="H187" s="7"/>
      <c r="P187" s="4"/>
      <c r="Q187" s="40"/>
      <c r="R187" s="55"/>
      <c r="S187" s="54"/>
      <c r="T187" s="53"/>
      <c r="U187" s="52"/>
      <c r="V187" s="52"/>
      <c r="W187" s="52"/>
      <c r="X187" s="54"/>
      <c r="Y187" s="54"/>
      <c r="Z187" s="53"/>
      <c r="AA187" s="54"/>
      <c r="AB187" s="53"/>
      <c r="AC187" s="53"/>
      <c r="AD187" s="5"/>
      <c r="AE187" s="5"/>
      <c r="AF187" s="7"/>
      <c r="AG187" s="5"/>
      <c r="AH187" s="7"/>
      <c r="AO187" s="18"/>
      <c r="AP187" s="4">
        <f t="shared" si="196"/>
        <v>40778</v>
      </c>
      <c r="AQ187" s="36">
        <f>+AU186</f>
        <v>0.38194444444444442</v>
      </c>
      <c r="AR187">
        <f>+AV186</f>
        <v>3550</v>
      </c>
      <c r="AT187" s="4">
        <v>40779</v>
      </c>
      <c r="AU187" s="36">
        <v>0.375</v>
      </c>
      <c r="AV187">
        <v>3100</v>
      </c>
      <c r="AX187" s="45">
        <f t="shared" si="190"/>
        <v>453.14685314685323</v>
      </c>
      <c r="AY187" s="45">
        <f t="shared" si="192"/>
        <v>0</v>
      </c>
      <c r="AZ187" s="7">
        <f t="shared" si="193"/>
        <v>453.14685314685323</v>
      </c>
      <c r="BA187" s="18">
        <f t="shared" si="194"/>
        <v>1</v>
      </c>
      <c r="BB187" s="6">
        <f t="shared" si="195"/>
        <v>23.833333333333332</v>
      </c>
      <c r="BI187" s="91"/>
      <c r="BJ187" s="21"/>
      <c r="BK187" s="21"/>
      <c r="BL187" s="12"/>
      <c r="BM187" s="90"/>
      <c r="BN187" s="24"/>
      <c r="BO187" s="21"/>
      <c r="BP187" s="88"/>
      <c r="BQ187" s="89"/>
      <c r="BR187" s="89"/>
      <c r="BS187" s="7"/>
      <c r="BV187" s="5"/>
      <c r="BX187" s="5"/>
      <c r="BY187" s="5"/>
      <c r="BZ187" s="5"/>
      <c r="CA187" s="5"/>
      <c r="CB187" s="7"/>
      <c r="CC187" s="5"/>
      <c r="CD187" s="7"/>
      <c r="CE187" s="7"/>
      <c r="DB187" s="46"/>
      <c r="DC187" s="4"/>
      <c r="DD187" s="24"/>
      <c r="DF187" s="6"/>
      <c r="DG187" s="6"/>
      <c r="DH187" s="7"/>
    </row>
    <row r="188" spans="5:126">
      <c r="E188" s="39"/>
      <c r="F188" s="46"/>
      <c r="G188" s="4"/>
      <c r="H188" s="7"/>
      <c r="P188" s="4"/>
      <c r="Q188" s="40"/>
      <c r="R188" s="55"/>
      <c r="S188" s="54"/>
      <c r="T188" s="53"/>
      <c r="U188" s="52"/>
      <c r="V188" s="52"/>
      <c r="W188" s="52"/>
      <c r="X188" s="54"/>
      <c r="Y188" s="54"/>
      <c r="Z188" s="53"/>
      <c r="AA188" s="54"/>
      <c r="AB188" s="53"/>
      <c r="AC188" s="53"/>
      <c r="AD188" s="5"/>
      <c r="AE188" s="5"/>
      <c r="AF188" s="7"/>
      <c r="AG188" s="5"/>
      <c r="AH188" s="7"/>
      <c r="AO188" s="18"/>
      <c r="AP188" s="4">
        <f t="shared" si="196"/>
        <v>40779</v>
      </c>
      <c r="AQ188" s="36">
        <v>0.38194444444444442</v>
      </c>
      <c r="AR188">
        <f>+AV187</f>
        <v>3100</v>
      </c>
      <c r="AT188" s="4">
        <v>40780</v>
      </c>
      <c r="AU188" s="36">
        <v>0.37847222222222227</v>
      </c>
      <c r="AV188">
        <v>2500</v>
      </c>
      <c r="AX188" s="45">
        <f t="shared" si="190"/>
        <v>602.09059233449477</v>
      </c>
      <c r="AY188" s="45">
        <f t="shared" si="192"/>
        <v>0</v>
      </c>
      <c r="AZ188" s="7">
        <f t="shared" si="193"/>
        <v>602.09059233449477</v>
      </c>
      <c r="BA188" s="18">
        <f t="shared" si="194"/>
        <v>1</v>
      </c>
      <c r="BB188" s="6">
        <f t="shared" si="195"/>
        <v>23.916666666666668</v>
      </c>
      <c r="BI188" s="91"/>
      <c r="BJ188" s="21"/>
      <c r="BK188" s="21"/>
      <c r="BL188" s="12"/>
      <c r="BM188" s="90"/>
      <c r="BN188" s="24"/>
      <c r="BO188" s="21"/>
      <c r="BP188" s="88"/>
      <c r="BQ188" s="89"/>
      <c r="BR188" s="89"/>
      <c r="BS188" s="7"/>
      <c r="BV188" s="5"/>
      <c r="BX188" s="5"/>
      <c r="BY188" s="5"/>
      <c r="BZ188" s="5"/>
      <c r="CA188" s="5"/>
      <c r="CB188" s="7"/>
      <c r="CC188" s="5"/>
      <c r="CD188" s="7"/>
      <c r="CE188" s="7"/>
      <c r="DB188" s="46"/>
      <c r="DC188" s="4"/>
      <c r="DD188" s="24"/>
      <c r="DF188" s="6"/>
      <c r="DG188" s="6"/>
      <c r="DH188" s="7"/>
    </row>
    <row r="189" spans="5:126">
      <c r="E189" s="39"/>
      <c r="F189" s="46"/>
      <c r="G189" s="4"/>
      <c r="H189" s="7"/>
      <c r="P189" s="4"/>
      <c r="Q189" s="40"/>
      <c r="R189" s="55"/>
      <c r="S189" s="54"/>
      <c r="T189" s="53"/>
      <c r="U189" s="52"/>
      <c r="V189" s="52"/>
      <c r="W189" s="52"/>
      <c r="X189" s="54"/>
      <c r="Y189" s="54"/>
      <c r="Z189" s="53"/>
      <c r="AA189" s="54"/>
      <c r="AB189" s="53"/>
      <c r="AC189" s="53"/>
      <c r="AD189" s="5"/>
      <c r="AE189" s="5"/>
      <c r="AF189" s="7"/>
      <c r="AG189" s="5"/>
      <c r="AH189" s="7"/>
      <c r="AO189" s="18"/>
      <c r="AP189" s="4">
        <f t="shared" si="196"/>
        <v>40780</v>
      </c>
      <c r="AQ189" s="36">
        <v>0.74722222222222223</v>
      </c>
      <c r="AR189">
        <f>+AV188</f>
        <v>2500</v>
      </c>
      <c r="AT189" s="4">
        <v>40781</v>
      </c>
      <c r="AU189" s="36">
        <v>0.77500000000000002</v>
      </c>
      <c r="AV189">
        <v>3850</v>
      </c>
      <c r="AX189" s="40">
        <v>500</v>
      </c>
      <c r="AY189" s="45">
        <f t="shared" si="192"/>
        <v>0</v>
      </c>
      <c r="AZ189" s="7">
        <f t="shared" si="193"/>
        <v>500</v>
      </c>
      <c r="BA189" s="18">
        <f t="shared" si="194"/>
        <v>1</v>
      </c>
      <c r="BB189" s="6">
        <f t="shared" si="195"/>
        <v>24.666666666666668</v>
      </c>
      <c r="BI189" s="91"/>
      <c r="BJ189" s="21"/>
      <c r="BK189" s="21"/>
      <c r="BL189" s="12"/>
      <c r="BM189" s="90"/>
      <c r="BN189" s="24"/>
      <c r="BO189" s="21"/>
      <c r="BP189" s="88"/>
      <c r="BQ189" s="89"/>
      <c r="BR189" s="89"/>
      <c r="BS189" s="7"/>
      <c r="BV189" s="5"/>
      <c r="BX189" s="5"/>
      <c r="BY189" s="5"/>
      <c r="BZ189" s="5"/>
      <c r="CA189" s="5"/>
      <c r="CB189" s="7"/>
      <c r="CC189" s="5"/>
      <c r="CD189" s="7"/>
      <c r="CE189" s="7"/>
      <c r="DB189" s="46"/>
      <c r="DC189" s="4"/>
      <c r="DD189" s="24"/>
      <c r="DF189" s="6"/>
      <c r="DG189" s="6"/>
      <c r="DH189" s="7"/>
    </row>
    <row r="190" spans="5:126">
      <c r="E190" s="39"/>
      <c r="F190" s="46"/>
      <c r="G190" s="4"/>
      <c r="H190" s="7"/>
      <c r="P190" s="4"/>
      <c r="Q190" s="40"/>
      <c r="R190" s="55"/>
      <c r="S190" s="54"/>
      <c r="T190" s="53"/>
      <c r="U190" s="52"/>
      <c r="V190" s="52"/>
      <c r="W190" s="52"/>
      <c r="X190" s="54"/>
      <c r="Y190" s="54"/>
      <c r="Z190" s="53"/>
      <c r="AA190" s="54"/>
      <c r="AB190" s="53"/>
      <c r="AC190" s="53"/>
      <c r="AD190" s="5"/>
      <c r="AE190" s="5"/>
      <c r="AF190" s="7"/>
      <c r="AG190" s="5"/>
      <c r="AH190" s="7"/>
      <c r="AO190" s="18"/>
      <c r="AP190" s="4">
        <f t="shared" si="196"/>
        <v>40781</v>
      </c>
      <c r="AQ190" s="36">
        <f>+AU189</f>
        <v>0.77500000000000002</v>
      </c>
      <c r="AR190">
        <f>+AV189</f>
        <v>3850</v>
      </c>
      <c r="AT190" s="4">
        <v>40782</v>
      </c>
      <c r="AU190" s="36">
        <v>0.40972222222222227</v>
      </c>
      <c r="AV190">
        <v>1620</v>
      </c>
      <c r="AX190" s="40">
        <v>500</v>
      </c>
      <c r="AY190" s="45">
        <f t="shared" si="192"/>
        <v>0</v>
      </c>
      <c r="AZ190" s="7">
        <f t="shared" si="193"/>
        <v>500</v>
      </c>
      <c r="BA190" s="18">
        <f t="shared" si="194"/>
        <v>1</v>
      </c>
      <c r="BB190" s="6">
        <f t="shared" si="195"/>
        <v>15.233333333333336</v>
      </c>
      <c r="BI190" s="91"/>
      <c r="BJ190" s="21"/>
      <c r="BK190" s="21"/>
      <c r="BL190" s="12"/>
      <c r="BM190" s="90"/>
      <c r="BN190" s="24"/>
      <c r="BO190" s="21"/>
      <c r="BP190" s="88"/>
      <c r="BQ190" s="89"/>
      <c r="BR190" s="89"/>
      <c r="BS190" s="7"/>
      <c r="BV190" s="5"/>
      <c r="BX190" s="5"/>
      <c r="BY190" s="5"/>
      <c r="BZ190" s="5"/>
      <c r="CA190" s="5"/>
      <c r="CB190" s="7"/>
      <c r="CC190" s="5"/>
      <c r="CD190" s="74"/>
      <c r="CE190" s="74"/>
      <c r="DB190" s="46"/>
      <c r="DC190" s="4"/>
      <c r="DD190" s="24"/>
      <c r="DF190" s="6"/>
      <c r="DG190" s="6"/>
      <c r="DH190" s="7"/>
    </row>
    <row r="191" spans="5:126">
      <c r="E191" s="39"/>
      <c r="F191" s="46"/>
      <c r="G191" s="4"/>
      <c r="H191" s="7"/>
      <c r="P191" s="4"/>
      <c r="Q191" s="40"/>
      <c r="R191" s="55"/>
      <c r="S191" s="54"/>
      <c r="T191" s="53"/>
      <c r="U191" s="52"/>
      <c r="V191" s="52"/>
      <c r="W191" s="52"/>
      <c r="X191" s="54"/>
      <c r="Y191" s="54"/>
      <c r="Z191" s="53"/>
      <c r="AA191" s="54"/>
      <c r="AB191" s="53"/>
      <c r="AC191" s="53"/>
      <c r="AD191" s="5"/>
      <c r="AE191" s="5"/>
      <c r="AF191" s="7"/>
      <c r="AG191" s="5"/>
      <c r="AH191" s="7"/>
      <c r="AO191" s="18"/>
      <c r="AP191" s="4">
        <f t="shared" si="196"/>
        <v>40782</v>
      </c>
      <c r="AQ191" s="36">
        <v>0.5</v>
      </c>
      <c r="AR191">
        <v>4000</v>
      </c>
      <c r="AT191" s="4">
        <v>40783</v>
      </c>
      <c r="AU191" s="36">
        <v>0.56319444444444444</v>
      </c>
      <c r="AV191">
        <v>3450</v>
      </c>
      <c r="AX191" s="45">
        <f t="shared" ref="AX191:AX196" si="197">+(AR191-AV191)/BB191*24</f>
        <v>517.30894839973871</v>
      </c>
      <c r="AY191" s="45">
        <f t="shared" si="192"/>
        <v>0</v>
      </c>
      <c r="AZ191" s="7">
        <f t="shared" si="193"/>
        <v>517.30894839973871</v>
      </c>
      <c r="BA191" s="18">
        <f t="shared" si="194"/>
        <v>1</v>
      </c>
      <c r="BB191" s="6">
        <f t="shared" si="195"/>
        <v>25.516666666666666</v>
      </c>
      <c r="BI191" s="91"/>
      <c r="BJ191" s="21"/>
      <c r="BK191" s="21"/>
      <c r="BL191" s="12"/>
      <c r="BM191" s="90"/>
      <c r="BN191" s="24"/>
      <c r="BO191" s="21"/>
      <c r="BP191" s="88"/>
      <c r="BQ191" s="21"/>
      <c r="BR191" s="21"/>
      <c r="DB191" s="46"/>
      <c r="DC191" s="4"/>
      <c r="DD191" s="24"/>
      <c r="DF191" s="6"/>
      <c r="DG191" s="6"/>
      <c r="DH191" s="7"/>
    </row>
    <row r="192" spans="5:126">
      <c r="E192" s="39"/>
      <c r="F192" s="46"/>
      <c r="G192" s="4"/>
      <c r="H192" s="7"/>
      <c r="P192" s="4"/>
      <c r="Q192" s="40"/>
      <c r="R192" s="55"/>
      <c r="S192" s="54"/>
      <c r="T192" s="53"/>
      <c r="U192" s="52"/>
      <c r="V192" s="52"/>
      <c r="W192" s="52"/>
      <c r="X192" s="54"/>
      <c r="Y192" s="54"/>
      <c r="Z192" s="53"/>
      <c r="AA192" s="54"/>
      <c r="AB192" s="53"/>
      <c r="AC192" s="53"/>
      <c r="AD192" s="5"/>
      <c r="AE192" s="5"/>
      <c r="AF192" s="7"/>
      <c r="AG192" s="5"/>
      <c r="AH192" s="7"/>
      <c r="AO192" s="18"/>
      <c r="AP192" s="4">
        <f t="shared" si="196"/>
        <v>40783</v>
      </c>
      <c r="AQ192" s="36">
        <f t="shared" ref="AQ192:AR194" si="198">+AU191</f>
        <v>0.56319444444444444</v>
      </c>
      <c r="AR192">
        <f t="shared" si="198"/>
        <v>3450</v>
      </c>
      <c r="AT192" s="4">
        <v>40784</v>
      </c>
      <c r="AU192" s="36">
        <v>0.3888888888888889</v>
      </c>
      <c r="AV192">
        <v>2900</v>
      </c>
      <c r="AX192" s="45">
        <f t="shared" si="197"/>
        <v>666.10597140454149</v>
      </c>
      <c r="AY192" s="45">
        <f t="shared" si="192"/>
        <v>0</v>
      </c>
      <c r="AZ192" s="7">
        <f t="shared" si="193"/>
        <v>666.10597140454149</v>
      </c>
      <c r="BA192" s="18">
        <f t="shared" si="194"/>
        <v>1</v>
      </c>
      <c r="BB192" s="6">
        <f t="shared" si="195"/>
        <v>19.81666666666667</v>
      </c>
      <c r="BI192" s="91"/>
      <c r="BJ192" s="21"/>
      <c r="BK192" s="21"/>
      <c r="BL192" s="12"/>
      <c r="BM192" s="90"/>
      <c r="BN192" s="24"/>
      <c r="BO192" s="21"/>
      <c r="BP192" s="88"/>
      <c r="BQ192" s="21"/>
      <c r="BR192" s="21"/>
      <c r="DB192" s="46"/>
      <c r="DC192" s="4"/>
      <c r="DD192" s="24"/>
      <c r="DF192" s="6"/>
      <c r="DG192" s="6"/>
      <c r="DH192" s="7"/>
    </row>
    <row r="193" spans="5:112">
      <c r="E193" s="39"/>
      <c r="F193" s="46"/>
      <c r="G193" s="4"/>
      <c r="H193" s="7"/>
      <c r="I193" s="4"/>
      <c r="J193" s="7"/>
      <c r="P193" s="4"/>
      <c r="Q193" s="40"/>
      <c r="R193" s="55"/>
      <c r="S193" s="54"/>
      <c r="T193" s="53"/>
      <c r="U193" s="52"/>
      <c r="V193" s="52"/>
      <c r="W193" s="52"/>
      <c r="X193" s="54"/>
      <c r="Y193" s="54"/>
      <c r="Z193" s="53"/>
      <c r="AA193" s="54"/>
      <c r="AB193" s="53"/>
      <c r="AC193" s="53"/>
      <c r="AD193" s="5"/>
      <c r="AE193" s="5"/>
      <c r="AF193" s="7"/>
      <c r="AG193" s="5"/>
      <c r="AH193" s="7"/>
      <c r="AO193" s="18"/>
      <c r="AP193" s="4">
        <f t="shared" si="196"/>
        <v>40784</v>
      </c>
      <c r="AQ193" s="36">
        <f t="shared" si="198"/>
        <v>0.3888888888888889</v>
      </c>
      <c r="AR193">
        <f t="shared" si="198"/>
        <v>2900</v>
      </c>
      <c r="AT193" s="4">
        <v>40785</v>
      </c>
      <c r="AU193" s="36">
        <v>0.38194444444444442</v>
      </c>
      <c r="AV193">
        <v>2300</v>
      </c>
      <c r="AX193" s="45">
        <f t="shared" si="197"/>
        <v>604.19580419580427</v>
      </c>
      <c r="AY193" s="45">
        <f t="shared" si="192"/>
        <v>0</v>
      </c>
      <c r="AZ193" s="7">
        <f t="shared" si="193"/>
        <v>604.19580419580427</v>
      </c>
      <c r="BA193" s="18">
        <f t="shared" si="194"/>
        <v>1</v>
      </c>
      <c r="BB193" s="6">
        <f t="shared" si="195"/>
        <v>23.833333333333332</v>
      </c>
      <c r="BI193" s="91"/>
      <c r="BJ193" s="21"/>
      <c r="BK193" s="21"/>
      <c r="BL193" s="12"/>
      <c r="BM193" s="90"/>
      <c r="BN193" s="24"/>
      <c r="BO193" s="21"/>
      <c r="BP193" s="88"/>
      <c r="BQ193" s="21"/>
      <c r="BR193" s="21"/>
      <c r="DB193" s="46"/>
      <c r="DC193" s="4"/>
      <c r="DD193" s="24"/>
      <c r="DF193" s="6"/>
      <c r="DG193" s="6"/>
      <c r="DH193" s="7"/>
    </row>
    <row r="194" spans="5:112">
      <c r="E194" s="39"/>
      <c r="F194" s="46"/>
      <c r="G194" s="4"/>
      <c r="H194" s="7"/>
      <c r="I194" s="4"/>
      <c r="J194" s="7"/>
      <c r="P194" s="4"/>
      <c r="Q194" s="40"/>
      <c r="T194" s="53"/>
      <c r="AO194" s="18"/>
      <c r="AP194" s="4">
        <f t="shared" si="196"/>
        <v>40785</v>
      </c>
      <c r="AQ194" s="36">
        <f t="shared" si="198"/>
        <v>0.38194444444444442</v>
      </c>
      <c r="AR194">
        <f t="shared" si="198"/>
        <v>2300</v>
      </c>
      <c r="AT194" s="4">
        <v>40786</v>
      </c>
      <c r="AU194" s="36">
        <v>0.3888888888888889</v>
      </c>
      <c r="AV194">
        <v>1600</v>
      </c>
      <c r="AX194" s="45">
        <f t="shared" si="197"/>
        <v>695.17241379310349</v>
      </c>
      <c r="AY194" s="45">
        <f t="shared" si="192"/>
        <v>0</v>
      </c>
      <c r="AZ194" s="7">
        <f t="shared" si="193"/>
        <v>695.17241379310349</v>
      </c>
      <c r="BA194" s="18">
        <f t="shared" si="194"/>
        <v>1</v>
      </c>
      <c r="BB194" s="6">
        <f t="shared" si="195"/>
        <v>24.166666666666668</v>
      </c>
      <c r="BI194" s="91"/>
      <c r="BJ194" s="21"/>
      <c r="BK194" s="21"/>
      <c r="BL194" s="12"/>
      <c r="BM194" s="21"/>
      <c r="BN194" s="21"/>
      <c r="BO194" s="21"/>
      <c r="BP194" s="21"/>
      <c r="BQ194" s="21"/>
      <c r="BR194" s="21"/>
      <c r="DB194" s="46"/>
      <c r="DC194" s="4"/>
      <c r="DD194" s="24"/>
      <c r="DF194" s="6"/>
      <c r="DG194" s="6"/>
      <c r="DH194" s="7"/>
    </row>
    <row r="195" spans="5:112">
      <c r="E195" s="39"/>
      <c r="F195" s="46"/>
      <c r="G195" s="4"/>
      <c r="H195" s="7"/>
      <c r="I195" s="4"/>
      <c r="P195" s="4"/>
      <c r="Q195" s="40"/>
      <c r="T195" s="53"/>
      <c r="AO195" s="18"/>
      <c r="AP195" s="4">
        <f t="shared" si="196"/>
        <v>40786</v>
      </c>
      <c r="AQ195" s="36">
        <v>0.45833333333333331</v>
      </c>
      <c r="AR195">
        <v>3500</v>
      </c>
      <c r="AT195" s="4">
        <v>40787</v>
      </c>
      <c r="AU195" s="36">
        <v>0.3888888888888889</v>
      </c>
      <c r="AV195">
        <v>3000</v>
      </c>
      <c r="AX195" s="45">
        <f t="shared" si="197"/>
        <v>537.31343283582078</v>
      </c>
      <c r="AY195" s="45">
        <f t="shared" si="192"/>
        <v>0</v>
      </c>
      <c r="AZ195" s="7">
        <f t="shared" si="193"/>
        <v>537.31343283582078</v>
      </c>
      <c r="BA195" s="18">
        <f t="shared" si="194"/>
        <v>1</v>
      </c>
      <c r="BB195" s="6">
        <f t="shared" si="195"/>
        <v>22.333333333333336</v>
      </c>
      <c r="BI195" s="91"/>
      <c r="BJ195" s="21"/>
      <c r="BK195" s="21"/>
      <c r="BL195" s="12"/>
      <c r="BM195" s="21"/>
      <c r="BN195" s="21"/>
      <c r="BO195" s="21"/>
      <c r="BP195" s="21"/>
      <c r="BQ195" s="21"/>
      <c r="BR195" s="21"/>
      <c r="DB195" s="46"/>
      <c r="DC195" s="4"/>
      <c r="DD195" s="24"/>
      <c r="DF195" s="6"/>
      <c r="DG195" s="6"/>
      <c r="DH195" s="7"/>
    </row>
    <row r="196" spans="5:112">
      <c r="E196" s="39"/>
      <c r="F196" s="46"/>
      <c r="G196" s="4"/>
      <c r="H196" s="7"/>
      <c r="AO196" s="18"/>
      <c r="AP196" s="4">
        <f t="shared" si="196"/>
        <v>40787</v>
      </c>
      <c r="AQ196" s="36">
        <f>+AU195</f>
        <v>0.3888888888888889</v>
      </c>
      <c r="AR196">
        <f>+AV195</f>
        <v>3000</v>
      </c>
      <c r="AT196" s="4">
        <v>40527</v>
      </c>
      <c r="AU196" s="36">
        <v>0.40625</v>
      </c>
      <c r="AV196">
        <v>3000</v>
      </c>
      <c r="AX196" s="45">
        <f t="shared" si="197"/>
        <v>0</v>
      </c>
      <c r="AY196" s="45">
        <f t="shared" si="192"/>
        <v>0</v>
      </c>
      <c r="AZ196" s="7">
        <f t="shared" si="193"/>
        <v>0</v>
      </c>
      <c r="BA196" s="18">
        <f t="shared" si="194"/>
        <v>-260</v>
      </c>
      <c r="BB196" s="6">
        <f t="shared" si="195"/>
        <v>-6239.583333333333</v>
      </c>
      <c r="BI196" s="91"/>
      <c r="BJ196" s="21"/>
      <c r="BK196" s="21"/>
      <c r="BL196" s="12"/>
      <c r="BM196" s="21"/>
      <c r="BN196" s="21"/>
      <c r="BO196" s="21"/>
      <c r="BP196" s="21"/>
      <c r="BQ196" s="21"/>
      <c r="BR196" s="21"/>
      <c r="DB196" s="46"/>
      <c r="DC196" s="4"/>
      <c r="DD196" s="24"/>
      <c r="DF196" s="6"/>
      <c r="DG196" s="6"/>
      <c r="DH196" s="7"/>
    </row>
    <row r="197" spans="5:112">
      <c r="E197" s="39"/>
      <c r="F197" s="46"/>
      <c r="G197" s="4"/>
      <c r="H197" s="7"/>
      <c r="AO197" s="18"/>
      <c r="AP197" s="4"/>
      <c r="AQ197" s="36"/>
      <c r="AT197" s="4"/>
      <c r="AU197" s="36"/>
      <c r="AX197" s="45"/>
      <c r="AY197" s="45"/>
      <c r="AZ197" s="7"/>
      <c r="BA197" s="18"/>
      <c r="BB197" s="6"/>
      <c r="BI197" s="91"/>
      <c r="BJ197" s="21"/>
      <c r="BK197" s="21"/>
      <c r="BL197" s="21"/>
      <c r="BM197" s="21"/>
      <c r="BN197" s="21"/>
      <c r="BO197" s="21"/>
      <c r="BP197" s="21"/>
      <c r="BQ197" s="21"/>
      <c r="BR197" s="21"/>
      <c r="DB197" s="46"/>
      <c r="DC197" s="4"/>
      <c r="DD197" s="24"/>
      <c r="DF197" s="6"/>
      <c r="DG197" s="6"/>
      <c r="DH197" s="7"/>
    </row>
    <row r="198" spans="5:112">
      <c r="E198" s="39"/>
      <c r="F198" s="46"/>
      <c r="G198" s="4"/>
      <c r="H198" s="7"/>
      <c r="AO198" s="18"/>
      <c r="AP198" s="4"/>
      <c r="AQ198" s="36"/>
      <c r="AT198" s="4"/>
      <c r="AU198" s="36"/>
      <c r="AX198" s="45"/>
      <c r="AY198" s="45"/>
      <c r="AZ198" s="7"/>
      <c r="BA198" s="18"/>
      <c r="BB198" s="6"/>
      <c r="BI198" s="91"/>
      <c r="BJ198" s="21"/>
      <c r="BK198" s="21"/>
      <c r="BL198" s="21"/>
      <c r="BM198" s="21"/>
      <c r="BN198" s="21"/>
      <c r="BO198" s="21"/>
      <c r="BP198" s="21"/>
      <c r="BQ198" s="21"/>
      <c r="BR198" s="21"/>
      <c r="DB198" s="46"/>
      <c r="DC198" s="4"/>
      <c r="DD198" s="24"/>
      <c r="DF198" s="6"/>
      <c r="DG198" s="6"/>
      <c r="DH198" s="7"/>
    </row>
    <row r="199" spans="5:112">
      <c r="E199" s="39"/>
      <c r="F199" s="46"/>
      <c r="G199" s="4"/>
      <c r="H199" s="7"/>
      <c r="AO199" s="18"/>
      <c r="AP199" s="4"/>
      <c r="AQ199" s="36"/>
      <c r="AT199" s="4"/>
      <c r="AU199" s="36"/>
      <c r="AX199" s="45"/>
      <c r="AY199" s="45"/>
      <c r="AZ199" s="7"/>
      <c r="BA199" s="18"/>
      <c r="BB199" s="6"/>
      <c r="BI199" s="17"/>
      <c r="BJ199" s="21"/>
      <c r="BK199" s="21"/>
      <c r="BL199" s="21"/>
      <c r="BM199" s="21"/>
      <c r="BN199" s="21"/>
      <c r="BO199" s="21"/>
      <c r="BP199" s="21"/>
      <c r="BQ199" s="21"/>
      <c r="BR199" s="21"/>
      <c r="DB199" s="46"/>
      <c r="DC199" s="4"/>
      <c r="DD199" s="24"/>
      <c r="DF199" s="6"/>
      <c r="DG199" s="6"/>
      <c r="DH199" s="7"/>
    </row>
    <row r="200" spans="5:112">
      <c r="E200" s="39"/>
      <c r="F200" s="46"/>
      <c r="G200" s="4"/>
      <c r="H200" s="7"/>
      <c r="AO200" s="18"/>
      <c r="AP200" s="4"/>
      <c r="AQ200" s="36"/>
      <c r="AT200" s="4"/>
      <c r="AU200" s="36"/>
      <c r="AX200" s="45"/>
      <c r="AY200" s="45"/>
      <c r="AZ200" s="7"/>
      <c r="BA200" s="18"/>
      <c r="BB200" s="6"/>
      <c r="BI200" s="91"/>
      <c r="BJ200" s="21"/>
      <c r="BK200" s="21"/>
      <c r="BL200" s="21"/>
      <c r="BM200" s="21"/>
      <c r="BN200" s="21"/>
      <c r="BO200" s="21"/>
      <c r="BP200" s="21"/>
      <c r="BQ200" s="21"/>
      <c r="BR200" s="21"/>
      <c r="DB200" s="46"/>
      <c r="DC200" s="4"/>
      <c r="DD200" s="24"/>
      <c r="DF200" s="6"/>
      <c r="DG200" s="6"/>
      <c r="DH200" s="7"/>
    </row>
    <row r="201" spans="5:112">
      <c r="E201" s="39"/>
      <c r="F201" s="46"/>
      <c r="G201" s="4"/>
      <c r="H201" s="7"/>
      <c r="AO201" s="18"/>
      <c r="AP201" s="4"/>
      <c r="AQ201" s="36"/>
      <c r="AT201" s="4"/>
      <c r="AU201" s="36"/>
      <c r="AX201" s="45"/>
      <c r="AY201" s="45"/>
      <c r="AZ201" s="7"/>
      <c r="BA201" s="18"/>
      <c r="BB201" s="6"/>
      <c r="BI201" s="91"/>
      <c r="BJ201" s="21"/>
      <c r="BK201" s="21"/>
      <c r="BL201" s="21"/>
      <c r="BM201" s="21"/>
      <c r="BN201" s="21"/>
      <c r="BO201" s="21"/>
      <c r="BP201" s="21"/>
      <c r="BQ201" s="21"/>
      <c r="BR201" s="21"/>
      <c r="DC201" s="4"/>
      <c r="DD201" s="24"/>
      <c r="DF201" s="6"/>
      <c r="DG201" s="6"/>
      <c r="DH201" s="7"/>
    </row>
    <row r="202" spans="5:112">
      <c r="E202" s="39"/>
      <c r="F202" s="46"/>
      <c r="G202" s="4"/>
      <c r="H202" s="7"/>
      <c r="AO202" s="18"/>
      <c r="AP202" s="4"/>
      <c r="AQ202" s="36"/>
      <c r="AT202" s="4"/>
      <c r="AU202" s="36"/>
      <c r="AX202" s="45"/>
      <c r="AY202" s="45"/>
      <c r="AZ202" s="7"/>
      <c r="BA202" s="18"/>
      <c r="BB202" s="6"/>
      <c r="BI202" s="91"/>
      <c r="BJ202" s="21"/>
      <c r="BK202" s="21"/>
      <c r="BL202" s="21"/>
      <c r="BM202" s="21"/>
      <c r="BN202" s="21"/>
      <c r="BO202" s="21"/>
      <c r="BP202" s="21"/>
      <c r="BQ202" s="21"/>
      <c r="BR202" s="21"/>
    </row>
    <row r="203" spans="5:112">
      <c r="E203" s="39"/>
      <c r="F203" s="46"/>
      <c r="G203" s="4"/>
      <c r="H203" s="7"/>
      <c r="AO203" s="18"/>
      <c r="AP203" s="4"/>
      <c r="AQ203" s="36"/>
      <c r="AT203" s="4"/>
      <c r="AU203" s="36"/>
      <c r="AX203" s="45"/>
      <c r="AY203" s="45"/>
      <c r="AZ203" s="7"/>
      <c r="BA203" s="18"/>
      <c r="BB203" s="6"/>
      <c r="BI203" s="91"/>
      <c r="BJ203" s="21"/>
      <c r="BK203" s="21"/>
      <c r="BL203" s="21"/>
      <c r="BM203" s="21"/>
      <c r="BN203" s="21"/>
      <c r="BO203" s="21"/>
      <c r="BP203" s="21"/>
      <c r="BQ203" s="21"/>
      <c r="BR203" s="21"/>
    </row>
    <row r="204" spans="5:112">
      <c r="E204" s="39"/>
      <c r="F204" s="46"/>
      <c r="G204" s="4"/>
      <c r="H204" s="7"/>
      <c r="AO204" s="18"/>
      <c r="AP204" s="4"/>
      <c r="AQ204" s="36"/>
      <c r="AT204" s="4"/>
      <c r="AU204" s="36"/>
      <c r="AX204" s="45"/>
      <c r="AY204" s="45"/>
      <c r="AZ204" s="7"/>
      <c r="BA204" s="18"/>
      <c r="BB204" s="6"/>
      <c r="BI204" s="91"/>
      <c r="BJ204" s="21"/>
      <c r="BK204" s="21"/>
      <c r="BL204" s="21"/>
      <c r="BM204" s="21"/>
      <c r="BN204" s="21"/>
      <c r="BO204" s="21"/>
      <c r="BP204" s="21"/>
      <c r="BQ204" s="21"/>
      <c r="BR204" s="21"/>
    </row>
    <row r="205" spans="5:112">
      <c r="E205" s="39"/>
      <c r="F205" s="46"/>
      <c r="G205" s="4"/>
      <c r="H205" s="7"/>
      <c r="AO205" s="18"/>
      <c r="AP205" s="4"/>
      <c r="AQ205" s="36"/>
      <c r="AT205" s="4"/>
      <c r="AU205" s="36"/>
      <c r="AX205" s="45"/>
      <c r="AY205" s="45"/>
      <c r="AZ205" s="7"/>
      <c r="BA205" s="18"/>
      <c r="BB205" s="6"/>
      <c r="BI205" s="91"/>
      <c r="BJ205" s="21"/>
      <c r="BK205" s="21"/>
      <c r="BL205" s="21"/>
      <c r="BM205" s="21"/>
      <c r="BN205" s="21"/>
      <c r="BO205" s="21"/>
      <c r="BP205" s="21"/>
      <c r="BQ205" s="21"/>
      <c r="BR205" s="21"/>
    </row>
    <row r="206" spans="5:112">
      <c r="E206" s="39"/>
      <c r="F206" s="46"/>
      <c r="G206" s="4"/>
      <c r="H206" s="7"/>
      <c r="AO206" s="18"/>
      <c r="AP206" s="4"/>
      <c r="AQ206" s="36"/>
      <c r="AT206" s="4"/>
      <c r="AU206" s="36"/>
      <c r="AX206" s="45"/>
      <c r="AY206" s="45"/>
      <c r="AZ206" s="7"/>
      <c r="BA206" s="18"/>
      <c r="BB206" s="6"/>
      <c r="BI206" s="91"/>
      <c r="BJ206" s="21"/>
      <c r="BK206" s="21"/>
      <c r="BL206" s="21"/>
      <c r="BM206" s="21"/>
      <c r="BN206" s="21"/>
      <c r="BO206" s="21"/>
      <c r="BP206" s="21"/>
      <c r="BQ206" s="21"/>
      <c r="BR206" s="21"/>
    </row>
    <row r="207" spans="5:112">
      <c r="E207" s="39"/>
      <c r="F207" s="46"/>
      <c r="G207" s="4"/>
      <c r="H207" s="7"/>
      <c r="AO207" s="18"/>
      <c r="AP207" s="4"/>
      <c r="AQ207" s="36"/>
      <c r="AT207" s="4"/>
      <c r="AU207" s="36"/>
      <c r="AX207" s="45"/>
      <c r="AY207" s="45"/>
      <c r="AZ207" s="7"/>
      <c r="BA207" s="18"/>
      <c r="BB207" s="6"/>
      <c r="BI207" s="91"/>
      <c r="BJ207" s="21"/>
      <c r="BK207" s="21"/>
      <c r="BL207" s="21"/>
      <c r="BM207" s="21"/>
      <c r="BN207" s="21"/>
      <c r="BO207" s="21"/>
      <c r="BP207" s="21"/>
      <c r="BQ207" s="21"/>
      <c r="BR207" s="21"/>
    </row>
    <row r="208" spans="5:112">
      <c r="E208" s="39"/>
      <c r="F208" s="46"/>
      <c r="G208" s="4"/>
      <c r="H208" s="7"/>
      <c r="AO208" s="18"/>
      <c r="AP208" s="4"/>
      <c r="AQ208" s="36"/>
      <c r="AT208" s="4"/>
      <c r="AU208" s="36"/>
      <c r="AX208" s="45"/>
      <c r="AY208" s="45"/>
      <c r="AZ208" s="7"/>
      <c r="BA208" s="18"/>
      <c r="BB208" s="6"/>
      <c r="BI208" s="91"/>
      <c r="BJ208" s="21"/>
      <c r="BK208" s="21"/>
      <c r="BL208" s="21"/>
      <c r="BM208" s="21"/>
      <c r="BN208" s="21"/>
      <c r="BO208" s="21"/>
      <c r="BP208" s="21"/>
      <c r="BQ208" s="21"/>
      <c r="BR208" s="21"/>
    </row>
    <row r="209" spans="5:70">
      <c r="E209" s="39"/>
      <c r="F209" s="46"/>
      <c r="G209" s="4"/>
      <c r="H209" s="7"/>
      <c r="AO209" s="18"/>
      <c r="AP209" s="4"/>
      <c r="AQ209" s="36"/>
      <c r="AT209" s="4"/>
      <c r="AU209" s="36"/>
      <c r="AX209" s="45"/>
      <c r="AY209" s="45"/>
      <c r="AZ209" s="7"/>
      <c r="BA209" s="18"/>
      <c r="BB209" s="6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</row>
    <row r="210" spans="5:70">
      <c r="E210" s="39"/>
      <c r="F210" s="46"/>
      <c r="G210" s="4"/>
      <c r="H210" s="7"/>
      <c r="AO210" s="18"/>
      <c r="AP210" s="4"/>
      <c r="AQ210" s="36"/>
      <c r="AT210" s="4"/>
      <c r="AU210" s="36"/>
      <c r="AX210" s="45"/>
      <c r="AY210" s="45"/>
      <c r="AZ210" s="7"/>
      <c r="BA210" s="18"/>
      <c r="BB210" s="6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</row>
    <row r="211" spans="5:70">
      <c r="E211" s="39"/>
      <c r="F211" s="46"/>
      <c r="G211" s="4"/>
      <c r="H211" s="7"/>
      <c r="AO211" s="18"/>
      <c r="AP211" s="4"/>
      <c r="AQ211" s="36"/>
      <c r="AT211" s="4"/>
      <c r="AU211" s="36"/>
      <c r="AX211" s="45"/>
      <c r="AY211" s="45"/>
      <c r="AZ211" s="7"/>
      <c r="BA211" s="18"/>
      <c r="BB211" s="6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</row>
    <row r="212" spans="5:70">
      <c r="E212" s="39"/>
      <c r="F212" s="46"/>
      <c r="G212" s="4"/>
      <c r="H212" s="7"/>
      <c r="AO212" s="18"/>
      <c r="AP212" s="4"/>
      <c r="AQ212" s="36"/>
      <c r="AT212" s="4"/>
      <c r="AU212" s="36"/>
      <c r="AX212" s="45"/>
      <c r="AY212" s="45"/>
      <c r="AZ212" s="7"/>
      <c r="BA212" s="18"/>
      <c r="BB212" s="6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</row>
    <row r="213" spans="5:70">
      <c r="E213" s="39"/>
      <c r="F213" s="46"/>
      <c r="G213" s="4"/>
      <c r="H213" s="7"/>
      <c r="AO213" s="18"/>
      <c r="AP213" s="4"/>
      <c r="AQ213" s="36"/>
      <c r="AT213" s="4"/>
      <c r="AU213" s="36"/>
      <c r="AX213" s="45"/>
      <c r="AY213" s="45"/>
      <c r="AZ213" s="7"/>
      <c r="BA213" s="18"/>
      <c r="BB213" s="6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</row>
    <row r="214" spans="5:70">
      <c r="E214" s="39"/>
      <c r="F214" s="46"/>
      <c r="G214" s="4"/>
      <c r="H214" s="7"/>
      <c r="AO214" s="18"/>
      <c r="AP214" s="4"/>
      <c r="AQ214" s="36"/>
      <c r="AT214" s="4"/>
      <c r="AU214" s="36"/>
      <c r="AX214" s="45"/>
      <c r="AY214" s="45"/>
      <c r="AZ214" s="7"/>
      <c r="BA214" s="18"/>
      <c r="BB214" s="6"/>
    </row>
    <row r="215" spans="5:70">
      <c r="E215" s="39"/>
      <c r="F215" s="46"/>
      <c r="G215" s="4"/>
      <c r="H215" s="7"/>
      <c r="AO215" s="18"/>
      <c r="AP215" s="4"/>
      <c r="AQ215" s="36"/>
      <c r="AT215" s="4"/>
      <c r="AU215" s="36"/>
      <c r="AX215" s="45"/>
      <c r="AY215" s="45"/>
      <c r="AZ215" s="7"/>
      <c r="BA215" s="18"/>
      <c r="BB215" s="6"/>
    </row>
    <row r="216" spans="5:70">
      <c r="E216" s="39"/>
      <c r="F216" s="46"/>
      <c r="G216" s="4"/>
      <c r="H216" s="7"/>
      <c r="AO216" s="18"/>
      <c r="AP216" s="4"/>
      <c r="AQ216" s="36"/>
      <c r="AT216" s="4"/>
      <c r="AU216" s="36"/>
      <c r="AX216" s="45"/>
      <c r="AY216" s="45"/>
      <c r="AZ216" s="7"/>
      <c r="BA216" s="18"/>
      <c r="BB216" s="6"/>
    </row>
    <row r="217" spans="5:70">
      <c r="E217" s="39"/>
      <c r="F217" s="46"/>
      <c r="G217" s="4"/>
      <c r="H217" s="7"/>
      <c r="AO217" s="18"/>
      <c r="AP217" s="4"/>
      <c r="AQ217" s="36"/>
      <c r="AT217" s="4"/>
      <c r="AU217" s="36"/>
      <c r="AX217" s="45"/>
      <c r="AY217" s="45"/>
      <c r="AZ217" s="7"/>
      <c r="BA217" s="18"/>
      <c r="BB217" s="6"/>
    </row>
    <row r="218" spans="5:70">
      <c r="E218" s="39"/>
      <c r="F218" s="46"/>
      <c r="G218" s="4"/>
      <c r="H218" s="7"/>
      <c r="AO218" s="18"/>
      <c r="AP218" s="4"/>
      <c r="AQ218" s="36"/>
      <c r="AT218" s="4"/>
      <c r="AU218" s="36"/>
      <c r="AX218" s="45"/>
      <c r="AY218" s="45"/>
      <c r="AZ218" s="7"/>
      <c r="BA218" s="18"/>
      <c r="BB218" s="6"/>
    </row>
    <row r="219" spans="5:70">
      <c r="E219" s="39"/>
      <c r="F219" s="46"/>
      <c r="G219" s="4"/>
      <c r="H219" s="7"/>
      <c r="AO219" s="18"/>
      <c r="AP219" s="4"/>
      <c r="AQ219" s="36"/>
      <c r="AT219" s="4"/>
      <c r="AU219" s="36"/>
      <c r="AX219" s="40"/>
      <c r="AY219" s="45"/>
      <c r="AZ219" s="7"/>
      <c r="BA219" s="18"/>
      <c r="BB219" s="6"/>
    </row>
    <row r="220" spans="5:70">
      <c r="E220" s="39"/>
      <c r="F220" s="46"/>
      <c r="G220" s="4"/>
      <c r="H220" s="7"/>
      <c r="AO220" s="18"/>
      <c r="AP220" s="4"/>
      <c r="AQ220" s="36"/>
      <c r="AT220" s="4"/>
      <c r="AU220" s="36"/>
      <c r="AX220" s="45"/>
      <c r="AY220" s="45"/>
      <c r="AZ220" s="7"/>
      <c r="BA220" s="18"/>
      <c r="BB220" s="6"/>
    </row>
    <row r="221" spans="5:70">
      <c r="E221" s="39"/>
      <c r="F221" s="46"/>
      <c r="G221" s="4"/>
      <c r="H221" s="7"/>
      <c r="AO221" s="18"/>
      <c r="AP221" s="4"/>
      <c r="AQ221" s="36"/>
      <c r="AT221" s="4"/>
      <c r="AU221" s="36"/>
      <c r="AX221" s="45"/>
      <c r="AY221" s="45"/>
      <c r="AZ221" s="7"/>
      <c r="BA221" s="18"/>
      <c r="BB221" s="6"/>
    </row>
    <row r="222" spans="5:70">
      <c r="E222" s="39"/>
      <c r="F222" s="46"/>
      <c r="G222" s="4"/>
      <c r="H222" s="7"/>
      <c r="AO222" s="18"/>
      <c r="AP222" s="4"/>
      <c r="AQ222" s="36"/>
      <c r="AT222" s="4"/>
      <c r="AU222" s="36"/>
      <c r="AX222" s="45"/>
      <c r="AY222" s="45"/>
      <c r="AZ222" s="7"/>
      <c r="BA222" s="18"/>
      <c r="BB222" s="6"/>
    </row>
    <row r="223" spans="5:70">
      <c r="E223" s="39"/>
      <c r="F223" s="46"/>
      <c r="G223" s="4"/>
      <c r="H223" s="7"/>
      <c r="O223" s="36">
        <v>0</v>
      </c>
      <c r="P223" s="7">
        <v>467.67400000000004</v>
      </c>
      <c r="Q223" t="s">
        <v>58</v>
      </c>
    </row>
    <row r="224" spans="5:70">
      <c r="E224" s="39"/>
      <c r="F224" s="46"/>
      <c r="G224" s="4"/>
      <c r="H224" s="7"/>
      <c r="O224" s="36">
        <v>2.0833333333333332E-2</v>
      </c>
      <c r="P224" s="7">
        <v>327.99200000000008</v>
      </c>
    </row>
    <row r="225" spans="5:17">
      <c r="E225" s="39"/>
      <c r="F225" s="46"/>
      <c r="G225" s="4"/>
      <c r="H225" s="7"/>
      <c r="O225" s="36">
        <v>7.2916666666666671E-2</v>
      </c>
      <c r="P225" s="7">
        <v>149.67543999999998</v>
      </c>
    </row>
    <row r="226" spans="5:17">
      <c r="E226" s="39"/>
      <c r="F226" s="46"/>
      <c r="G226" s="4"/>
      <c r="H226" s="7"/>
      <c r="M226" s="39"/>
      <c r="N226" s="46"/>
      <c r="O226" s="36">
        <v>9.375E-2</v>
      </c>
      <c r="P226" s="7">
        <v>59.792099999999998</v>
      </c>
    </row>
    <row r="227" spans="5:17">
      <c r="E227" s="39"/>
      <c r="F227" s="35"/>
      <c r="G227" s="4"/>
      <c r="H227" s="7"/>
      <c r="M227" s="39">
        <v>0.21270779999999997</v>
      </c>
      <c r="N227" s="35" t="s">
        <v>44</v>
      </c>
      <c r="O227" s="36">
        <v>0.11458333333333333</v>
      </c>
      <c r="P227" s="7">
        <v>11.817099999999998</v>
      </c>
    </row>
    <row r="228" spans="5:17">
      <c r="E228" s="39"/>
      <c r="F228" s="35"/>
      <c r="G228" s="4"/>
      <c r="H228" s="7"/>
      <c r="M228" s="39">
        <v>0</v>
      </c>
      <c r="N228" s="35" t="s">
        <v>45</v>
      </c>
      <c r="O228" s="36">
        <v>0.12847222222222224</v>
      </c>
      <c r="P228" s="7">
        <v>0</v>
      </c>
    </row>
    <row r="229" spans="5:17">
      <c r="E229" s="39"/>
      <c r="F229" s="35"/>
      <c r="G229" s="4"/>
      <c r="H229" s="7"/>
      <c r="M229" s="39">
        <v>0</v>
      </c>
      <c r="N229" s="35" t="s">
        <v>46</v>
      </c>
      <c r="O229" s="36">
        <v>0.13333333333333333</v>
      </c>
      <c r="P229" s="7">
        <v>0</v>
      </c>
    </row>
    <row r="230" spans="5:17">
      <c r="E230" s="39"/>
      <c r="F230" s="35"/>
      <c r="G230" s="4"/>
      <c r="H230" s="7"/>
      <c r="M230" s="39">
        <v>0</v>
      </c>
      <c r="N230" s="35" t="s">
        <v>47</v>
      </c>
      <c r="O230" s="36">
        <v>0.13819444444444443</v>
      </c>
      <c r="P230" s="7">
        <v>0</v>
      </c>
    </row>
    <row r="231" spans="5:17">
      <c r="E231" s="39"/>
      <c r="F231" s="35"/>
      <c r="G231" s="4"/>
      <c r="H231" s="7"/>
      <c r="M231" s="39">
        <v>0</v>
      </c>
      <c r="N231" s="35" t="s">
        <v>48</v>
      </c>
      <c r="O231" s="36">
        <v>0.14166666666666666</v>
      </c>
      <c r="P231" s="7">
        <v>0</v>
      </c>
      <c r="Q231" s="19"/>
    </row>
    <row r="232" spans="5:17">
      <c r="M232" s="39">
        <v>0</v>
      </c>
      <c r="N232" s="35" t="s">
        <v>49</v>
      </c>
      <c r="O232" s="36">
        <v>0.1451388888888889</v>
      </c>
      <c r="P232" s="7">
        <v>0</v>
      </c>
      <c r="Q232" s="15"/>
    </row>
    <row r="233" spans="5:17">
      <c r="E233" s="39"/>
      <c r="F233" s="46"/>
      <c r="G233" s="4"/>
      <c r="H233" s="7"/>
      <c r="M233" s="39">
        <v>0</v>
      </c>
      <c r="N233" s="35" t="s">
        <v>50</v>
      </c>
      <c r="O233" s="36">
        <v>0.15138888888888888</v>
      </c>
      <c r="P233" s="7">
        <v>0</v>
      </c>
      <c r="Q233" s="20"/>
    </row>
    <row r="234" spans="5:17">
      <c r="M234" s="39">
        <v>0</v>
      </c>
      <c r="N234" s="35" t="s">
        <v>51</v>
      </c>
      <c r="O234" s="36">
        <v>0.16319444444444445</v>
      </c>
      <c r="P234" s="7">
        <v>0</v>
      </c>
    </row>
    <row r="238" spans="5:17">
      <c r="M238" s="39">
        <v>0</v>
      </c>
      <c r="N238" s="35" t="s">
        <v>52</v>
      </c>
      <c r="O238" s="36">
        <v>1.3888888888888888E-2</v>
      </c>
      <c r="P238" s="7">
        <v>0</v>
      </c>
      <c r="Q238" t="s">
        <v>59</v>
      </c>
    </row>
    <row r="239" spans="5:17">
      <c r="M239" s="39">
        <v>0</v>
      </c>
      <c r="N239" s="35" t="s">
        <v>53</v>
      </c>
      <c r="O239" s="36">
        <v>2.0833333333333332E-2</v>
      </c>
      <c r="P239" s="7">
        <v>0</v>
      </c>
    </row>
    <row r="240" spans="5:17">
      <c r="M240" s="39">
        <v>0</v>
      </c>
      <c r="N240" s="35" t="s">
        <v>54</v>
      </c>
      <c r="O240" s="36">
        <v>2.7777777777777776E-2</v>
      </c>
      <c r="P240" s="7">
        <v>0</v>
      </c>
      <c r="Q240" s="16"/>
    </row>
    <row r="241" spans="7:16">
      <c r="M241" s="39">
        <v>-2.1359700000000006E-2</v>
      </c>
      <c r="N241" s="35" t="s">
        <v>55</v>
      </c>
      <c r="O241" s="36">
        <v>3.4722222222222224E-2</v>
      </c>
      <c r="P241" s="7">
        <v>0</v>
      </c>
    </row>
    <row r="242" spans="7:16">
      <c r="M242" s="39">
        <v>-1.2269700000000005E-2</v>
      </c>
      <c r="N242" s="35" t="s">
        <v>56</v>
      </c>
      <c r="O242" s="36">
        <v>4.1666666666666664E-2</v>
      </c>
      <c r="P242" s="7">
        <v>0</v>
      </c>
    </row>
    <row r="243" spans="7:16">
      <c r="M243" s="39">
        <v>-9.9972000000000012E-3</v>
      </c>
      <c r="N243" s="35" t="s">
        <v>57</v>
      </c>
      <c r="O243" s="36">
        <v>4.8611111111111112E-2</v>
      </c>
      <c r="P243" s="7">
        <v>0</v>
      </c>
    </row>
    <row r="245" spans="7:16">
      <c r="M245" s="39"/>
      <c r="N245" s="35"/>
      <c r="O245" s="36"/>
      <c r="P245" s="7"/>
    </row>
    <row r="246" spans="7:16">
      <c r="M246" s="39"/>
      <c r="N246" s="35"/>
      <c r="O246" s="36"/>
      <c r="P246" s="7"/>
    </row>
    <row r="247" spans="7:16">
      <c r="M247" s="39"/>
      <c r="N247" s="35"/>
      <c r="O247" s="36"/>
      <c r="P247" s="7"/>
    </row>
    <row r="249" spans="7:16">
      <c r="M249" s="39">
        <v>8.4181319999999999</v>
      </c>
      <c r="N249" s="33" t="s">
        <v>41</v>
      </c>
      <c r="O249" s="36">
        <v>0</v>
      </c>
      <c r="P249" s="7">
        <v>467.67400000000004</v>
      </c>
    </row>
    <row r="250" spans="7:16">
      <c r="M250" s="39">
        <v>5.9038560000000011</v>
      </c>
      <c r="N250" s="33" t="s">
        <v>42</v>
      </c>
      <c r="O250" s="36">
        <v>2.0833333333333332E-2</v>
      </c>
      <c r="P250" s="7">
        <v>327.99200000000008</v>
      </c>
    </row>
    <row r="251" spans="7:16">
      <c r="M251" s="39">
        <v>2.6941579199999999</v>
      </c>
      <c r="N251" s="33" t="s">
        <v>43</v>
      </c>
      <c r="O251" s="36">
        <v>7.2916666666666671E-2</v>
      </c>
      <c r="P251" s="7">
        <v>149.67543999999998</v>
      </c>
    </row>
    <row r="252" spans="7:16" ht="18.75">
      <c r="M252" s="39"/>
      <c r="N252" s="34"/>
      <c r="O252" s="22"/>
      <c r="P252" s="7"/>
    </row>
    <row r="253" spans="7:16" ht="18.75">
      <c r="M253" s="39"/>
      <c r="N253" s="34"/>
      <c r="O253" s="4"/>
      <c r="P253" s="7"/>
    </row>
    <row r="254" spans="7:16">
      <c r="G254" s="39"/>
      <c r="H254" s="35"/>
      <c r="I254" s="36"/>
      <c r="J254" s="7"/>
    </row>
    <row r="255" spans="7:16">
      <c r="G255" s="39"/>
      <c r="H255" s="35"/>
      <c r="I255" s="36"/>
      <c r="J255" s="7"/>
      <c r="K255" s="15"/>
    </row>
    <row r="256" spans="7:16">
      <c r="G256" s="39"/>
      <c r="H256" s="35"/>
      <c r="I256" s="36"/>
      <c r="J256" s="7"/>
      <c r="K256" s="16"/>
    </row>
    <row r="257" spans="7:12">
      <c r="G257" s="39"/>
      <c r="H257" s="35"/>
      <c r="I257" s="4"/>
      <c r="J257" s="7"/>
      <c r="K257" s="16"/>
    </row>
    <row r="258" spans="7:12">
      <c r="G258" s="39"/>
      <c r="H258" s="35"/>
      <c r="I258" s="4"/>
      <c r="J258" s="7"/>
      <c r="K258" s="16"/>
    </row>
    <row r="259" spans="7:12">
      <c r="G259" s="39"/>
      <c r="H259" s="35"/>
      <c r="I259" s="4"/>
      <c r="K259" s="16"/>
    </row>
    <row r="260" spans="7:12">
      <c r="G260" s="39"/>
      <c r="H260" s="33"/>
      <c r="I260" s="4"/>
      <c r="J260" s="19"/>
      <c r="L260" s="16"/>
    </row>
    <row r="261" spans="7:12">
      <c r="G261" s="39"/>
      <c r="H261" s="35"/>
      <c r="I261" s="4"/>
    </row>
    <row r="262" spans="7:12">
      <c r="G262" s="39"/>
      <c r="H262" s="35"/>
      <c r="I262" s="4"/>
      <c r="J262" s="7"/>
    </row>
  </sheetData>
  <pageMargins left="0.7" right="0.7" top="0.75" bottom="0.75" header="0.3" footer="0.3"/>
  <pageSetup paperSize="9" scale="9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Radboud University Nijmegen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sjaime</dc:creator>
  <cp:lastModifiedBy>janeth</cp:lastModifiedBy>
  <cp:lastPrinted>2012-03-20T16:13:32Z</cp:lastPrinted>
  <dcterms:created xsi:type="dcterms:W3CDTF">2009-11-06T12:39:36Z</dcterms:created>
  <dcterms:modified xsi:type="dcterms:W3CDTF">2013-05-17T23:46:18Z</dcterms:modified>
</cp:coreProperties>
</file>